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65" yWindow="-90" windowWidth="15000" windowHeight="7725" tabRatio="602"/>
  </bookViews>
  <sheets>
    <sheet name="REPORTE DE EMERGENCIAS" sheetId="1" r:id="rId1"/>
  </sheets>
  <definedNames>
    <definedName name="_xlnm._FilterDatabase" localSheetId="0" hidden="1">'REPORTE DE EMERGENCIAS'!$A$2:$DD$1585</definedName>
    <definedName name="_xlnm.Print_Area" localSheetId="0">'REPORTE DE EMERGENCIAS'!$A$2:$AK$1586</definedName>
    <definedName name="_xlnm.Print_Titles" localSheetId="0">'REPORTE DE EMERGENCIAS'!$1:$2</definedName>
  </definedNames>
  <calcPr calcId="125725"/>
</workbook>
</file>

<file path=xl/calcChain.xml><?xml version="1.0" encoding="utf-8"?>
<calcChain xmlns="http://schemas.openxmlformats.org/spreadsheetml/2006/main">
  <c r="T1581" i="1"/>
  <c r="S1581"/>
  <c r="R1581"/>
  <c r="Q1581"/>
  <c r="P1581"/>
  <c r="O1581"/>
  <c r="N1581"/>
  <c r="M1581"/>
  <c r="L1581"/>
  <c r="K1581"/>
  <c r="J1581"/>
  <c r="G1581"/>
  <c r="F1581"/>
  <c r="E1581"/>
  <c r="AD1476"/>
  <c r="AB1476"/>
  <c r="AA1476"/>
  <c r="T1476"/>
  <c r="S1476"/>
  <c r="R1476"/>
  <c r="Q1476"/>
  <c r="P1476"/>
  <c r="O1476"/>
  <c r="N1476"/>
  <c r="M1476"/>
  <c r="L1476"/>
  <c r="K1476"/>
  <c r="J1476"/>
  <c r="G1476"/>
  <c r="F1476"/>
  <c r="E1476"/>
  <c r="AD1407"/>
  <c r="AB1407"/>
  <c r="AA1407"/>
  <c r="T1407"/>
  <c r="S1407"/>
  <c r="R1407"/>
  <c r="Q1407"/>
  <c r="P1407"/>
  <c r="O1407"/>
  <c r="N1407"/>
  <c r="M1407"/>
  <c r="L1407"/>
  <c r="J1407"/>
  <c r="G1407"/>
  <c r="F1407"/>
  <c r="E1407"/>
  <c r="AD1378"/>
  <c r="AA1378"/>
  <c r="T1378"/>
  <c r="S1378"/>
  <c r="R1378"/>
  <c r="Q1378"/>
  <c r="P1378"/>
  <c r="O1378"/>
  <c r="N1378"/>
  <c r="M1378"/>
  <c r="L1378"/>
  <c r="J1378"/>
  <c r="G1378"/>
  <c r="F1378"/>
  <c r="E1378"/>
  <c r="AD1277"/>
  <c r="AB1277"/>
  <c r="AA1277"/>
  <c r="T1277"/>
  <c r="S1277"/>
  <c r="R1277"/>
  <c r="Q1277"/>
  <c r="P1277"/>
  <c r="O1277"/>
  <c r="N1277"/>
  <c r="M1277"/>
  <c r="L1277"/>
  <c r="J1277"/>
  <c r="I1277"/>
  <c r="G1277"/>
  <c r="F1277"/>
  <c r="E1277"/>
  <c r="AD1202"/>
  <c r="AB1202"/>
  <c r="AA1202"/>
  <c r="T1202"/>
  <c r="S1202"/>
  <c r="R1202"/>
  <c r="Q1202"/>
  <c r="P1202"/>
  <c r="O1202"/>
  <c r="N1202"/>
  <c r="M1202"/>
  <c r="L1202"/>
  <c r="K1202"/>
  <c r="J1202"/>
  <c r="I1202"/>
  <c r="G1202"/>
  <c r="F1202"/>
  <c r="E1202"/>
  <c r="AD1158"/>
  <c r="AB1158"/>
  <c r="AA1158"/>
  <c r="T1158"/>
  <c r="S1158"/>
  <c r="R1158"/>
  <c r="Q1158"/>
  <c r="P1158"/>
  <c r="O1158"/>
  <c r="N1158"/>
  <c r="M1158"/>
  <c r="L1158"/>
  <c r="K1158"/>
  <c r="J1158"/>
  <c r="I1158"/>
  <c r="H1158"/>
  <c r="G1158"/>
  <c r="F1158"/>
  <c r="E1158"/>
  <c r="AD1149"/>
  <c r="AB1149"/>
  <c r="T1149"/>
  <c r="S1149"/>
  <c r="R1149"/>
  <c r="Q1149"/>
  <c r="P1149"/>
  <c r="O1149"/>
  <c r="N1149"/>
  <c r="M1149"/>
  <c r="L1149"/>
  <c r="G1149"/>
  <c r="F1149"/>
  <c r="E1149"/>
  <c r="AD1071"/>
  <c r="AB1071"/>
  <c r="AA1071"/>
  <c r="T1071"/>
  <c r="S1071"/>
  <c r="R1071"/>
  <c r="Q1071"/>
  <c r="P1071"/>
  <c r="O1071"/>
  <c r="N1071"/>
  <c r="M1071"/>
  <c r="L1071"/>
  <c r="K1071"/>
  <c r="J1071"/>
  <c r="I1071"/>
  <c r="G1071"/>
  <c r="F1071"/>
  <c r="E1071"/>
  <c r="AD1016"/>
  <c r="AB1016"/>
  <c r="AA1016"/>
  <c r="T1016"/>
  <c r="S1016"/>
  <c r="R1016"/>
  <c r="Q1016"/>
  <c r="P1016"/>
  <c r="O1016"/>
  <c r="N1016"/>
  <c r="M1016"/>
  <c r="L1016"/>
  <c r="J1016"/>
  <c r="I1016"/>
  <c r="G1016"/>
  <c r="F1016"/>
  <c r="E1016"/>
  <c r="AB970"/>
  <c r="T970"/>
  <c r="S970"/>
  <c r="R970"/>
  <c r="Q970"/>
  <c r="P970"/>
  <c r="O970"/>
  <c r="N970"/>
  <c r="M970"/>
  <c r="L970"/>
  <c r="K970"/>
  <c r="J970"/>
  <c r="G970"/>
  <c r="F970"/>
  <c r="E970"/>
  <c r="AD912"/>
  <c r="AB912"/>
  <c r="AA912"/>
  <c r="T912"/>
  <c r="S912"/>
  <c r="R912"/>
  <c r="Q912"/>
  <c r="P912"/>
  <c r="O912"/>
  <c r="N912"/>
  <c r="M912"/>
  <c r="L912"/>
  <c r="K912"/>
  <c r="J912"/>
  <c r="I912"/>
  <c r="G912"/>
  <c r="F912"/>
  <c r="E912"/>
  <c r="AD863"/>
  <c r="AB863"/>
  <c r="AA863"/>
  <c r="T863"/>
  <c r="S863"/>
  <c r="R863"/>
  <c r="Q863"/>
  <c r="P863"/>
  <c r="O863"/>
  <c r="N863"/>
  <c r="M863"/>
  <c r="L863"/>
  <c r="K863"/>
  <c r="J863"/>
  <c r="I863"/>
  <c r="H863"/>
  <c r="G863"/>
  <c r="F863"/>
  <c r="E863"/>
  <c r="AD861"/>
  <c r="AB861"/>
  <c r="AA861"/>
  <c r="T861"/>
  <c r="S861"/>
  <c r="R861"/>
  <c r="Q861"/>
  <c r="P861"/>
  <c r="O861"/>
  <c r="N861"/>
  <c r="M861"/>
  <c r="L861"/>
  <c r="K861"/>
  <c r="J861"/>
  <c r="G861"/>
  <c r="F861"/>
  <c r="E861"/>
  <c r="AD826"/>
  <c r="AB826"/>
  <c r="AA826"/>
  <c r="T826"/>
  <c r="S826"/>
  <c r="R826"/>
  <c r="Q826"/>
  <c r="P826"/>
  <c r="O826"/>
  <c r="N826"/>
  <c r="M826"/>
  <c r="L826"/>
  <c r="J826"/>
  <c r="G826"/>
  <c r="F826"/>
  <c r="E826"/>
  <c r="AB718"/>
  <c r="T718"/>
  <c r="S718"/>
  <c r="R718"/>
  <c r="Q718"/>
  <c r="P718"/>
  <c r="O718"/>
  <c r="N718"/>
  <c r="M718"/>
  <c r="L718"/>
  <c r="K718"/>
  <c r="J718"/>
  <c r="I718"/>
  <c r="G718"/>
  <c r="F718"/>
  <c r="E718"/>
  <c r="AD674"/>
  <c r="AB674"/>
  <c r="AA674"/>
  <c r="T674"/>
  <c r="S674"/>
  <c r="R674"/>
  <c r="Q674"/>
  <c r="P674"/>
  <c r="O674"/>
  <c r="N674"/>
  <c r="M674"/>
  <c r="L674"/>
  <c r="K674"/>
  <c r="J674"/>
  <c r="G674"/>
  <c r="F674"/>
  <c r="E674"/>
  <c r="AB624"/>
  <c r="T624"/>
  <c r="S624"/>
  <c r="R624"/>
  <c r="Q624"/>
  <c r="P624"/>
  <c r="O624"/>
  <c r="N624"/>
  <c r="M624"/>
  <c r="L624"/>
  <c r="J624"/>
  <c r="I624"/>
  <c r="G624"/>
  <c r="F624"/>
  <c r="E624"/>
  <c r="AD561"/>
  <c r="AB561"/>
  <c r="S561"/>
  <c r="R561"/>
  <c r="Q561"/>
  <c r="P561"/>
  <c r="O561"/>
  <c r="N561"/>
  <c r="M561"/>
  <c r="L561"/>
  <c r="K561"/>
  <c r="J561"/>
  <c r="I561"/>
  <c r="G561"/>
  <c r="F561"/>
  <c r="E561"/>
  <c r="AD508"/>
  <c r="AB508"/>
  <c r="AA508"/>
  <c r="T508"/>
  <c r="S508"/>
  <c r="R508"/>
  <c r="Q508"/>
  <c r="P508"/>
  <c r="O508"/>
  <c r="N508"/>
  <c r="M508"/>
  <c r="L508"/>
  <c r="K508"/>
  <c r="J508"/>
  <c r="I508"/>
  <c r="G508"/>
  <c r="F508"/>
  <c r="E508"/>
  <c r="AD486"/>
  <c r="AB486"/>
  <c r="S486"/>
  <c r="R486"/>
  <c r="Q486"/>
  <c r="P486"/>
  <c r="O486"/>
  <c r="N486"/>
  <c r="M486"/>
  <c r="L486"/>
  <c r="K486"/>
  <c r="J486"/>
  <c r="I486"/>
  <c r="G486"/>
  <c r="F486"/>
  <c r="E486"/>
  <c r="AD471"/>
  <c r="AB471"/>
  <c r="AA471"/>
  <c r="T471"/>
  <c r="S471"/>
  <c r="R471"/>
  <c r="Q471"/>
  <c r="P471"/>
  <c r="O471"/>
  <c r="N471"/>
  <c r="M471"/>
  <c r="L471"/>
  <c r="K471"/>
  <c r="J471"/>
  <c r="I471"/>
  <c r="G471"/>
  <c r="F471"/>
  <c r="E471"/>
  <c r="AD438"/>
  <c r="AB438"/>
  <c r="AA438"/>
  <c r="T438"/>
  <c r="S438"/>
  <c r="R438"/>
  <c r="Q438"/>
  <c r="P438"/>
  <c r="O438"/>
  <c r="N438"/>
  <c r="M438"/>
  <c r="L438"/>
  <c r="K438"/>
  <c r="J438"/>
  <c r="I438"/>
  <c r="G438"/>
  <c r="F438"/>
  <c r="E438"/>
  <c r="AB355"/>
  <c r="AA355"/>
  <c r="T355"/>
  <c r="S355"/>
  <c r="R355"/>
  <c r="Q355"/>
  <c r="P355"/>
  <c r="O355"/>
  <c r="N355"/>
  <c r="M355"/>
  <c r="L355"/>
  <c r="J355"/>
  <c r="I355"/>
  <c r="G355"/>
  <c r="F355"/>
  <c r="E355"/>
  <c r="AD272"/>
  <c r="AB272"/>
  <c r="AA272"/>
  <c r="T272"/>
  <c r="S272"/>
  <c r="R272"/>
  <c r="Q272"/>
  <c r="P272"/>
  <c r="O272"/>
  <c r="N272"/>
  <c r="M272"/>
  <c r="L272"/>
  <c r="K272"/>
  <c r="J272"/>
  <c r="I272"/>
  <c r="H272"/>
  <c r="G272"/>
  <c r="F272"/>
  <c r="E272"/>
  <c r="AD212"/>
  <c r="AB212"/>
  <c r="T212"/>
  <c r="S212"/>
  <c r="R212"/>
  <c r="Q212"/>
  <c r="P212"/>
  <c r="O212"/>
  <c r="N212"/>
  <c r="M212"/>
  <c r="L212"/>
  <c r="G212"/>
  <c r="F212"/>
  <c r="E212"/>
  <c r="AD139"/>
  <c r="AB139"/>
  <c r="AA139"/>
  <c r="T139"/>
  <c r="S139"/>
  <c r="R139"/>
  <c r="Q139"/>
  <c r="P139"/>
  <c r="O139"/>
  <c r="N139"/>
  <c r="M139"/>
  <c r="L139"/>
  <c r="J139"/>
  <c r="G139"/>
  <c r="F139"/>
  <c r="E139"/>
  <c r="AD125"/>
  <c r="AB125"/>
  <c r="T125"/>
  <c r="S125"/>
  <c r="R125"/>
  <c r="Q125"/>
  <c r="P125"/>
  <c r="O125"/>
  <c r="N125"/>
  <c r="M125"/>
  <c r="L125"/>
  <c r="J125"/>
  <c r="I125"/>
  <c r="G125"/>
  <c r="F125"/>
  <c r="E125"/>
  <c r="AD4"/>
  <c r="AB4"/>
  <c r="AA4"/>
  <c r="T4"/>
  <c r="S4"/>
  <c r="S1582"/>
  <c r="R4"/>
  <c r="R1582"/>
  <c r="Q4"/>
  <c r="Q1582"/>
  <c r="P4"/>
  <c r="P1582"/>
  <c r="O4"/>
  <c r="O1582"/>
  <c r="N4"/>
  <c r="N1582"/>
  <c r="M4"/>
  <c r="M1582"/>
  <c r="L4"/>
  <c r="L1582"/>
  <c r="K4"/>
  <c r="J4"/>
  <c r="G4"/>
  <c r="G1582"/>
  <c r="F4"/>
  <c r="F1582"/>
  <c r="E4"/>
  <c r="E1582"/>
  <c r="H1276"/>
  <c r="K1276"/>
  <c r="K1277" s="1"/>
  <c r="H855"/>
  <c r="I855"/>
  <c r="H846"/>
  <c r="H861" s="1"/>
  <c r="CT673"/>
  <c r="Z673"/>
  <c r="Y673"/>
  <c r="X673"/>
  <c r="W673"/>
  <c r="CT1070"/>
  <c r="W1070"/>
  <c r="Z1070"/>
  <c r="Y1070"/>
  <c r="X1070"/>
  <c r="CT124"/>
  <c r="W124" s="1"/>
  <c r="Z124"/>
  <c r="Y124"/>
  <c r="X124"/>
  <c r="CT1475"/>
  <c r="W1475"/>
  <c r="Z1475"/>
  <c r="Y1475"/>
  <c r="X1475"/>
  <c r="CT1580"/>
  <c r="W1580" s="1"/>
  <c r="Z1580"/>
  <c r="Y1580"/>
  <c r="X1580"/>
  <c r="CT354"/>
  <c r="W354"/>
  <c r="Z354"/>
  <c r="Y354"/>
  <c r="X354"/>
  <c r="CT123"/>
  <c r="W123" s="1"/>
  <c r="Z123"/>
  <c r="Y123"/>
  <c r="X123"/>
  <c r="CT122"/>
  <c r="W122"/>
  <c r="Z122"/>
  <c r="Y122"/>
  <c r="X122"/>
  <c r="CT121"/>
  <c r="W121" s="1"/>
  <c r="Z121"/>
  <c r="Y121"/>
  <c r="X121"/>
  <c r="CT717"/>
  <c r="W717"/>
  <c r="Z717"/>
  <c r="Y717"/>
  <c r="X717"/>
  <c r="CT211"/>
  <c r="W211" s="1"/>
  <c r="Z211"/>
  <c r="Y211"/>
  <c r="X211"/>
  <c r="CM310"/>
  <c r="CX310"/>
  <c r="CY1587"/>
  <c r="CX288"/>
  <c r="CM288"/>
  <c r="CX189"/>
  <c r="CO189"/>
  <c r="BK189"/>
  <c r="CV344"/>
  <c r="CU344"/>
  <c r="AD613"/>
  <c r="AY613"/>
  <c r="CO613"/>
  <c r="CX613"/>
  <c r="CV707"/>
  <c r="CU707"/>
  <c r="CV1401"/>
  <c r="CU1401"/>
  <c r="H467"/>
  <c r="H464"/>
  <c r="H469"/>
  <c r="H462"/>
  <c r="H459"/>
  <c r="H470"/>
  <c r="H447"/>
  <c r="H860"/>
  <c r="AB1532"/>
  <c r="AB1581"/>
  <c r="H639"/>
  <c r="I639"/>
  <c r="I674" s="1"/>
  <c r="H650"/>
  <c r="I650"/>
  <c r="H658"/>
  <c r="I658"/>
  <c r="H1106"/>
  <c r="H1545"/>
  <c r="I1545"/>
  <c r="H1557"/>
  <c r="H1569"/>
  <c r="H1535"/>
  <c r="H1507"/>
  <c r="H1537"/>
  <c r="H1551"/>
  <c r="H1550"/>
  <c r="H1532"/>
  <c r="I1532"/>
  <c r="H1563"/>
  <c r="H1531"/>
  <c r="H1555"/>
  <c r="H1530"/>
  <c r="H1477"/>
  <c r="H1542"/>
  <c r="I1542"/>
  <c r="H1568"/>
  <c r="H1576"/>
  <c r="I1576"/>
  <c r="H1513"/>
  <c r="H1562"/>
  <c r="H1497"/>
  <c r="H1575"/>
  <c r="I1575"/>
  <c r="H1547"/>
  <c r="H1544"/>
  <c r="H1536"/>
  <c r="H1572"/>
  <c r="H1526"/>
  <c r="H1559"/>
  <c r="H1571"/>
  <c r="CT558"/>
  <c r="Z558"/>
  <c r="Y558"/>
  <c r="X558"/>
  <c r="W558"/>
  <c r="CT559"/>
  <c r="W559" s="1"/>
  <c r="Z559"/>
  <c r="Y559"/>
  <c r="X559"/>
  <c r="CT671"/>
  <c r="W671"/>
  <c r="Z671"/>
  <c r="Y671"/>
  <c r="X671"/>
  <c r="CT1139"/>
  <c r="W1139" s="1"/>
  <c r="Z1139"/>
  <c r="Y1139"/>
  <c r="X1139"/>
  <c r="CT1138"/>
  <c r="W1138"/>
  <c r="Z1138"/>
  <c r="Y1138"/>
  <c r="X1138"/>
  <c r="CT1137"/>
  <c r="W1137" s="1"/>
  <c r="Z1137"/>
  <c r="Y1137"/>
  <c r="X1137"/>
  <c r="CT1569"/>
  <c r="W1569"/>
  <c r="Z1569"/>
  <c r="Y1569"/>
  <c r="X1569"/>
  <c r="CT1568"/>
  <c r="W1568" s="1"/>
  <c r="Z1568"/>
  <c r="Y1568"/>
  <c r="X1568"/>
  <c r="CT1069"/>
  <c r="W1069"/>
  <c r="Z1069"/>
  <c r="Y1069"/>
  <c r="X1069"/>
  <c r="CT1068"/>
  <c r="W1068" s="1"/>
  <c r="Z1068"/>
  <c r="Y1068"/>
  <c r="X1068"/>
  <c r="CT672"/>
  <c r="W672"/>
  <c r="Z672"/>
  <c r="Y672"/>
  <c r="X672"/>
  <c r="CT353"/>
  <c r="W353" s="1"/>
  <c r="Z353"/>
  <c r="Y353"/>
  <c r="X353"/>
  <c r="CT825"/>
  <c r="W825"/>
  <c r="Z825"/>
  <c r="Y825"/>
  <c r="X825"/>
  <c r="BY951"/>
  <c r="BX951"/>
  <c r="CX951"/>
  <c r="CW951"/>
  <c r="BY931"/>
  <c r="BX931"/>
  <c r="CX931"/>
  <c r="CW931"/>
  <c r="CX304"/>
  <c r="CW304"/>
  <c r="AD316"/>
  <c r="AD355" s="1"/>
  <c r="CX316"/>
  <c r="CW316"/>
  <c r="CT969"/>
  <c r="W969" s="1"/>
  <c r="X969"/>
  <c r="Y969"/>
  <c r="Z969"/>
  <c r="CT1579"/>
  <c r="W1579"/>
  <c r="X1579"/>
  <c r="Y1579"/>
  <c r="Z1579"/>
  <c r="CT560"/>
  <c r="W560" s="1"/>
  <c r="X560"/>
  <c r="Y560"/>
  <c r="Z560"/>
  <c r="CT470"/>
  <c r="W470"/>
  <c r="X470"/>
  <c r="Y470"/>
  <c r="Z470"/>
  <c r="CT469"/>
  <c r="W469" s="1"/>
  <c r="X469"/>
  <c r="Y469"/>
  <c r="Z469"/>
  <c r="CT860"/>
  <c r="W860"/>
  <c r="X860"/>
  <c r="Y860"/>
  <c r="Z860"/>
  <c r="K1379"/>
  <c r="K1407" s="1"/>
  <c r="I1379"/>
  <c r="I1407" s="1"/>
  <c r="H1379"/>
  <c r="K1386"/>
  <c r="I1386"/>
  <c r="H1386"/>
  <c r="H1360"/>
  <c r="H1367"/>
  <c r="H1359"/>
  <c r="H1344"/>
  <c r="H1321"/>
  <c r="H1320"/>
  <c r="K1341"/>
  <c r="H1342"/>
  <c r="H1377"/>
  <c r="I1377"/>
  <c r="K1324"/>
  <c r="H1324"/>
  <c r="I1324"/>
  <c r="H1339"/>
  <c r="I1339"/>
  <c r="H1357"/>
  <c r="H1295"/>
  <c r="H1373"/>
  <c r="H1346"/>
  <c r="H1356"/>
  <c r="H1338"/>
  <c r="H1319"/>
  <c r="H1355"/>
  <c r="H1301"/>
  <c r="H1335"/>
  <c r="H1306"/>
  <c r="H1361"/>
  <c r="H1293"/>
  <c r="H1333"/>
  <c r="H1353"/>
  <c r="H1354"/>
  <c r="H1289"/>
  <c r="H1352"/>
  <c r="H1330"/>
  <c r="H1290"/>
  <c r="H1328"/>
  <c r="H1280"/>
  <c r="K1304"/>
  <c r="K1378"/>
  <c r="H1304"/>
  <c r="I1304"/>
  <c r="I1378" s="1"/>
  <c r="H1350"/>
  <c r="H1327"/>
  <c r="H1368"/>
  <c r="I1368"/>
  <c r="H1326"/>
  <c r="H1325"/>
  <c r="H1134"/>
  <c r="I1134"/>
  <c r="H1133"/>
  <c r="I1133"/>
  <c r="H1131"/>
  <c r="I1131"/>
  <c r="H1088"/>
  <c r="H1083"/>
  <c r="H1127"/>
  <c r="I1127"/>
  <c r="H1093"/>
  <c r="I1093"/>
  <c r="J1089"/>
  <c r="J1149"/>
  <c r="H1089"/>
  <c r="I1089"/>
  <c r="I1149" s="1"/>
  <c r="H1113"/>
  <c r="K66"/>
  <c r="K125"/>
  <c r="I940"/>
  <c r="I970"/>
  <c r="CQ935"/>
  <c r="BY935"/>
  <c r="BX935"/>
  <c r="CI935"/>
  <c r="AY935"/>
  <c r="AD935"/>
  <c r="BY960"/>
  <c r="BX960"/>
  <c r="CO960"/>
  <c r="CN960"/>
  <c r="CG960"/>
  <c r="CF960"/>
  <c r="CI960"/>
  <c r="CH960"/>
  <c r="AY960"/>
  <c r="CI336"/>
  <c r="CQ336"/>
  <c r="CO336"/>
  <c r="AY336"/>
  <c r="AA708"/>
  <c r="AA606"/>
  <c r="AA608"/>
  <c r="AA602"/>
  <c r="AA580"/>
  <c r="AA624"/>
  <c r="I847"/>
  <c r="H847"/>
  <c r="I850"/>
  <c r="I861" s="1"/>
  <c r="H850"/>
  <c r="H332"/>
  <c r="H307"/>
  <c r="H288"/>
  <c r="H311"/>
  <c r="H297"/>
  <c r="H289"/>
  <c r="H1358"/>
  <c r="CX924"/>
  <c r="CW924"/>
  <c r="CX925"/>
  <c r="CW925"/>
  <c r="H120"/>
  <c r="AD1518"/>
  <c r="CX1518"/>
  <c r="AD1539"/>
  <c r="CX1539"/>
  <c r="AD1558"/>
  <c r="CX1558"/>
  <c r="AD1533"/>
  <c r="CX1533"/>
  <c r="AD1516"/>
  <c r="AD1581" s="1"/>
  <c r="CX1516"/>
  <c r="AD1536"/>
  <c r="CX1536"/>
  <c r="AD1538"/>
  <c r="CX1538"/>
  <c r="CT1109"/>
  <c r="Z1109"/>
  <c r="Y1109"/>
  <c r="X1109"/>
  <c r="W1109"/>
  <c r="CT1108"/>
  <c r="W1108" s="1"/>
  <c r="Z1108"/>
  <c r="Y1108"/>
  <c r="X1108"/>
  <c r="CT1107"/>
  <c r="W1107"/>
  <c r="Z1107"/>
  <c r="Y1107"/>
  <c r="X1107"/>
  <c r="CT716"/>
  <c r="W716" s="1"/>
  <c r="Z716"/>
  <c r="Y716"/>
  <c r="X716"/>
  <c r="CT715"/>
  <c r="W715"/>
  <c r="Z715"/>
  <c r="Y715"/>
  <c r="X715"/>
  <c r="CT857"/>
  <c r="W857" s="1"/>
  <c r="Z857"/>
  <c r="Y857"/>
  <c r="X857"/>
  <c r="CT1275"/>
  <c r="W1275"/>
  <c r="Z1275"/>
  <c r="Y1275"/>
  <c r="X1275"/>
  <c r="CT859"/>
  <c r="W859" s="1"/>
  <c r="Z859"/>
  <c r="Y859"/>
  <c r="X859"/>
  <c r="CT557"/>
  <c r="W557"/>
  <c r="Z557"/>
  <c r="Y557"/>
  <c r="X557"/>
  <c r="CT1403"/>
  <c r="W1403" s="1"/>
  <c r="Z1403"/>
  <c r="Y1403"/>
  <c r="X1403"/>
  <c r="CT1360"/>
  <c r="W1360"/>
  <c r="Z1360"/>
  <c r="Y1360"/>
  <c r="X1360"/>
  <c r="CT1359"/>
  <c r="W1359" s="1"/>
  <c r="Z1359"/>
  <c r="Y1359"/>
  <c r="X1359"/>
  <c r="CT1358"/>
  <c r="W1358"/>
  <c r="Z1358"/>
  <c r="Y1358"/>
  <c r="X1358"/>
  <c r="CT1357"/>
  <c r="W1357" s="1"/>
  <c r="Z1357"/>
  <c r="Y1357"/>
  <c r="X1357"/>
  <c r="CT1356"/>
  <c r="W1356"/>
  <c r="Z1356"/>
  <c r="Y1356"/>
  <c r="X1356"/>
  <c r="CT1355"/>
  <c r="W1355" s="1"/>
  <c r="Z1355"/>
  <c r="Y1355"/>
  <c r="X1355"/>
  <c r="CT1354"/>
  <c r="W1354"/>
  <c r="Z1354"/>
  <c r="Y1354"/>
  <c r="X1354"/>
  <c r="CT1352"/>
  <c r="W1352" s="1"/>
  <c r="Z1352"/>
  <c r="Y1352"/>
  <c r="X1352"/>
  <c r="CT1351"/>
  <c r="W1351"/>
  <c r="Z1351"/>
  <c r="Y1351"/>
  <c r="X1351"/>
  <c r="CT1350"/>
  <c r="W1350" s="1"/>
  <c r="Z1350"/>
  <c r="Y1350"/>
  <c r="X1350"/>
  <c r="CT1066"/>
  <c r="W1066"/>
  <c r="Z1066"/>
  <c r="Y1066"/>
  <c r="X1066"/>
  <c r="CT1055"/>
  <c r="W1055" s="1"/>
  <c r="Z1055"/>
  <c r="Y1055"/>
  <c r="X1055"/>
  <c r="CT1054"/>
  <c r="W1054"/>
  <c r="Z1054"/>
  <c r="Y1054"/>
  <c r="X1054"/>
  <c r="CT1050"/>
  <c r="W1050" s="1"/>
  <c r="Z1050"/>
  <c r="Y1050"/>
  <c r="X1050"/>
  <c r="CT1047"/>
  <c r="W1047"/>
  <c r="Z1047"/>
  <c r="Y1047"/>
  <c r="X1047"/>
  <c r="CT1032"/>
  <c r="W1032" s="1"/>
  <c r="Z1032"/>
  <c r="Y1032"/>
  <c r="X1032"/>
  <c r="CT1062"/>
  <c r="W1062"/>
  <c r="Z1062"/>
  <c r="Y1062"/>
  <c r="X1062"/>
  <c r="CT1201"/>
  <c r="W1201" s="1"/>
  <c r="Z1201"/>
  <c r="Y1201"/>
  <c r="X1201"/>
  <c r="CT433"/>
  <c r="W433"/>
  <c r="Z433"/>
  <c r="Y433"/>
  <c r="X433"/>
  <c r="CT434"/>
  <c r="W434" s="1"/>
  <c r="Z434"/>
  <c r="Y434"/>
  <c r="X434"/>
  <c r="CT435"/>
  <c r="W435"/>
  <c r="Z435"/>
  <c r="Y435"/>
  <c r="X435"/>
  <c r="CT437"/>
  <c r="W437" s="1"/>
  <c r="Z437"/>
  <c r="Y437"/>
  <c r="X437"/>
  <c r="CT1015"/>
  <c r="W1015"/>
  <c r="Z1015"/>
  <c r="Y1015"/>
  <c r="X1015"/>
  <c r="CT468"/>
  <c r="W468" s="1"/>
  <c r="Z468"/>
  <c r="Y468"/>
  <c r="X468"/>
  <c r="CT271"/>
  <c r="W271"/>
  <c r="Z271"/>
  <c r="Y271"/>
  <c r="X271"/>
  <c r="CT823"/>
  <c r="W823" s="1"/>
  <c r="Z823"/>
  <c r="Y823"/>
  <c r="X823"/>
  <c r="CT822"/>
  <c r="W822"/>
  <c r="Z822"/>
  <c r="Y822"/>
  <c r="X822"/>
  <c r="CT821"/>
  <c r="W821" s="1"/>
  <c r="Z821"/>
  <c r="Y821"/>
  <c r="X821"/>
  <c r="CT906"/>
  <c r="W906"/>
  <c r="Z906"/>
  <c r="Y906"/>
  <c r="X906"/>
  <c r="CT907"/>
  <c r="W907" s="1"/>
  <c r="Z907"/>
  <c r="Y907"/>
  <c r="X907"/>
  <c r="CT908"/>
  <c r="W908"/>
  <c r="Z908"/>
  <c r="Y908"/>
  <c r="X908"/>
  <c r="CT911"/>
  <c r="W911" s="1"/>
  <c r="Z911"/>
  <c r="Y911"/>
  <c r="X911"/>
  <c r="CT880"/>
  <c r="W880"/>
  <c r="Z880"/>
  <c r="Y880"/>
  <c r="X880"/>
  <c r="CT879"/>
  <c r="W879" s="1"/>
  <c r="Z879"/>
  <c r="Y879"/>
  <c r="X879"/>
  <c r="CT881"/>
  <c r="W881"/>
  <c r="Z881"/>
  <c r="Y881"/>
  <c r="X881"/>
  <c r="CT884"/>
  <c r="W884" s="1"/>
  <c r="Z884"/>
  <c r="Y884"/>
  <c r="X884"/>
  <c r="CT892"/>
  <c r="W892"/>
  <c r="Z892"/>
  <c r="Y892"/>
  <c r="X892"/>
  <c r="H301"/>
  <c r="H330"/>
  <c r="H345"/>
  <c r="H331"/>
  <c r="H299"/>
  <c r="H318"/>
  <c r="H346"/>
  <c r="H530"/>
  <c r="H549"/>
  <c r="H551"/>
  <c r="H545"/>
  <c r="H556"/>
  <c r="H541"/>
  <c r="H540"/>
  <c r="CT883"/>
  <c r="W883" s="1"/>
  <c r="Z883"/>
  <c r="Y883"/>
  <c r="X883"/>
  <c r="CT903"/>
  <c r="W903"/>
  <c r="Z903"/>
  <c r="Y903"/>
  <c r="X903"/>
  <c r="CT904"/>
  <c r="W904" s="1"/>
  <c r="Z904"/>
  <c r="Y904"/>
  <c r="X904"/>
  <c r="CT910"/>
  <c r="W910"/>
  <c r="Z910"/>
  <c r="Y910"/>
  <c r="X910"/>
  <c r="CT909"/>
  <c r="W909" s="1"/>
  <c r="Z909"/>
  <c r="Y909"/>
  <c r="X909"/>
  <c r="CT967"/>
  <c r="W967"/>
  <c r="Z967"/>
  <c r="Y967"/>
  <c r="X967"/>
  <c r="CT811"/>
  <c r="W811" s="1"/>
  <c r="Z811"/>
  <c r="Y811"/>
  <c r="X811"/>
  <c r="CT346"/>
  <c r="W346"/>
  <c r="Z346"/>
  <c r="Y346"/>
  <c r="X346"/>
  <c r="CT542"/>
  <c r="W542" s="1"/>
  <c r="Z542"/>
  <c r="Y542"/>
  <c r="X542"/>
  <c r="CT549"/>
  <c r="W549"/>
  <c r="Z549"/>
  <c r="Y549"/>
  <c r="X549"/>
  <c r="CT551"/>
  <c r="W551" s="1"/>
  <c r="Z551"/>
  <c r="Y551"/>
  <c r="X551"/>
  <c r="CT556"/>
  <c r="W556"/>
  <c r="Z556"/>
  <c r="Y556"/>
  <c r="X556"/>
  <c r="CT968"/>
  <c r="Z968"/>
  <c r="Y968"/>
  <c r="X968"/>
  <c r="W968"/>
  <c r="CT1399"/>
  <c r="W1399"/>
  <c r="Z1399"/>
  <c r="Y1399"/>
  <c r="X1399"/>
  <c r="CT1397"/>
  <c r="W1397" s="1"/>
  <c r="Z1397"/>
  <c r="Y1397"/>
  <c r="X1397"/>
  <c r="CT1404"/>
  <c r="W1404"/>
  <c r="Z1404"/>
  <c r="Y1404"/>
  <c r="X1404"/>
  <c r="CT1353"/>
  <c r="W1353" s="1"/>
  <c r="Z1353"/>
  <c r="Y1353"/>
  <c r="X1353"/>
  <c r="CT1110"/>
  <c r="W1110"/>
  <c r="Z1110"/>
  <c r="Y1110"/>
  <c r="X1110"/>
  <c r="CT553"/>
  <c r="W553" s="1"/>
  <c r="Z553"/>
  <c r="Y553"/>
  <c r="X553"/>
  <c r="CT544"/>
  <c r="W544"/>
  <c r="Z544"/>
  <c r="Y544"/>
  <c r="X544"/>
  <c r="CT539"/>
  <c r="W539" s="1"/>
  <c r="Z539"/>
  <c r="Y539"/>
  <c r="X539"/>
  <c r="CT120"/>
  <c r="W120"/>
  <c r="Z120"/>
  <c r="Y120"/>
  <c r="X120"/>
  <c r="CT824"/>
  <c r="W824" s="1"/>
  <c r="Z824"/>
  <c r="Y824"/>
  <c r="X824"/>
  <c r="CT467"/>
  <c r="W467"/>
  <c r="Z467"/>
  <c r="Y467"/>
  <c r="X467"/>
  <c r="CT1474"/>
  <c r="W1474" s="1"/>
  <c r="Z1474"/>
  <c r="Y1474"/>
  <c r="X1474"/>
  <c r="CT348"/>
  <c r="W348"/>
  <c r="Z348"/>
  <c r="Y348"/>
  <c r="X348"/>
  <c r="CT349"/>
  <c r="W349" s="1"/>
  <c r="Z349"/>
  <c r="Y349"/>
  <c r="X349"/>
  <c r="CT351"/>
  <c r="W351"/>
  <c r="Z351"/>
  <c r="Y351"/>
  <c r="X351"/>
  <c r="CT324"/>
  <c r="W324" s="1"/>
  <c r="Z324"/>
  <c r="Y324"/>
  <c r="X324"/>
  <c r="CT352"/>
  <c r="W352"/>
  <c r="Z352"/>
  <c r="Y352"/>
  <c r="X352"/>
  <c r="CT350"/>
  <c r="W350" s="1"/>
  <c r="Z350"/>
  <c r="Y350"/>
  <c r="X350"/>
  <c r="CT1575"/>
  <c r="W1575"/>
  <c r="X1575"/>
  <c r="Y1575"/>
  <c r="Z1575"/>
  <c r="CT1578"/>
  <c r="W1578" s="1"/>
  <c r="X1578"/>
  <c r="Y1578"/>
  <c r="Z1578"/>
  <c r="CT1577"/>
  <c r="W1577"/>
  <c r="X1577"/>
  <c r="Y1577"/>
  <c r="Z1577"/>
  <c r="CT1576"/>
  <c r="W1576" s="1"/>
  <c r="X1576"/>
  <c r="Y1576"/>
  <c r="Z1576"/>
  <c r="CT1148"/>
  <c r="W1148"/>
  <c r="X1148"/>
  <c r="Y1148"/>
  <c r="Z1148"/>
  <c r="CT820"/>
  <c r="W820" s="1"/>
  <c r="X820"/>
  <c r="Y820"/>
  <c r="Z820"/>
  <c r="CT623"/>
  <c r="W623"/>
  <c r="X623"/>
  <c r="Y623"/>
  <c r="Z623"/>
  <c r="CT1146"/>
  <c r="W1146" s="1"/>
  <c r="X1146"/>
  <c r="Y1146"/>
  <c r="Z1146"/>
  <c r="CT1274"/>
  <c r="W1274"/>
  <c r="X1274"/>
  <c r="Y1274"/>
  <c r="Z1274"/>
  <c r="CT1473"/>
  <c r="W1473" s="1"/>
  <c r="X1473"/>
  <c r="Y1473"/>
  <c r="Z1473"/>
  <c r="CT436"/>
  <c r="W436"/>
  <c r="X436"/>
  <c r="Y436"/>
  <c r="Z436"/>
  <c r="CT1574"/>
  <c r="W1574" s="1"/>
  <c r="X1574"/>
  <c r="Y1574"/>
  <c r="Z1574"/>
  <c r="CT1571"/>
  <c r="W1571"/>
  <c r="X1571"/>
  <c r="Y1571"/>
  <c r="Z1571"/>
  <c r="CT1572"/>
  <c r="W1572" s="1"/>
  <c r="X1572"/>
  <c r="Y1572"/>
  <c r="Z1572"/>
  <c r="CT1573"/>
  <c r="W1573"/>
  <c r="X1573"/>
  <c r="Y1573"/>
  <c r="Z1573"/>
  <c r="CT1048"/>
  <c r="W1048" s="1"/>
  <c r="X1048"/>
  <c r="Y1048"/>
  <c r="Z1048"/>
  <c r="CT268"/>
  <c r="W268"/>
  <c r="X268"/>
  <c r="Y268"/>
  <c r="Z268"/>
  <c r="CT270"/>
  <c r="W270" s="1"/>
  <c r="X270"/>
  <c r="Y270"/>
  <c r="Z270"/>
  <c r="CT269"/>
  <c r="W269"/>
  <c r="X269"/>
  <c r="Y269"/>
  <c r="Z269"/>
  <c r="CT265"/>
  <c r="W265" s="1"/>
  <c r="X265"/>
  <c r="Y265"/>
  <c r="Z265"/>
  <c r="CT1273"/>
  <c r="W1273"/>
  <c r="X1273"/>
  <c r="Y1273"/>
  <c r="Z1273"/>
  <c r="CT1147"/>
  <c r="W1147" s="1"/>
  <c r="X1147"/>
  <c r="Y1147"/>
  <c r="Z1147"/>
  <c r="CT818"/>
  <c r="W818"/>
  <c r="X818"/>
  <c r="Y818"/>
  <c r="Z818"/>
  <c r="CT816"/>
  <c r="W816" s="1"/>
  <c r="X816"/>
  <c r="Y816"/>
  <c r="Z816"/>
  <c r="CT1570"/>
  <c r="W1570"/>
  <c r="X1570"/>
  <c r="Y1570"/>
  <c r="Z1570"/>
  <c r="CT1145"/>
  <c r="W1145" s="1"/>
  <c r="X1145"/>
  <c r="Y1145"/>
  <c r="Z1145"/>
  <c r="CT1144"/>
  <c r="W1144"/>
  <c r="X1144"/>
  <c r="Y1144"/>
  <c r="Z1144"/>
  <c r="CT1141"/>
  <c r="W1141" s="1"/>
  <c r="X1141"/>
  <c r="Y1141"/>
  <c r="Z1141"/>
  <c r="CT1140"/>
  <c r="W1140"/>
  <c r="X1140"/>
  <c r="Y1140"/>
  <c r="Z1140"/>
  <c r="CT1142"/>
  <c r="W1142" s="1"/>
  <c r="X1142"/>
  <c r="Y1142"/>
  <c r="Z1142"/>
  <c r="CT1065"/>
  <c r="W1065"/>
  <c r="X1065"/>
  <c r="Y1065"/>
  <c r="Z1065"/>
  <c r="CT1064"/>
  <c r="W1064" s="1"/>
  <c r="X1064"/>
  <c r="Y1064"/>
  <c r="Z1064"/>
  <c r="CT1063"/>
  <c r="W1063"/>
  <c r="X1063"/>
  <c r="Y1063"/>
  <c r="Z1063"/>
  <c r="CT1060"/>
  <c r="W1060" s="1"/>
  <c r="X1060"/>
  <c r="Y1060"/>
  <c r="Z1060"/>
  <c r="CT1059"/>
  <c r="W1059"/>
  <c r="X1059"/>
  <c r="Y1059"/>
  <c r="Z1059"/>
  <c r="CT1058"/>
  <c r="W1058" s="1"/>
  <c r="X1058"/>
  <c r="Y1058"/>
  <c r="Z1058"/>
  <c r="CT1056"/>
  <c r="W1056"/>
  <c r="X1056"/>
  <c r="Y1056"/>
  <c r="Z1056"/>
  <c r="CT1057"/>
  <c r="W1057" s="1"/>
  <c r="X1057"/>
  <c r="Y1057"/>
  <c r="Z1057"/>
  <c r="CT1067"/>
  <c r="W1067"/>
  <c r="X1067"/>
  <c r="Y1067"/>
  <c r="Z1067"/>
  <c r="CT1272"/>
  <c r="W1272" s="1"/>
  <c r="X1272"/>
  <c r="Y1272"/>
  <c r="Z1272"/>
  <c r="CT209"/>
  <c r="W209"/>
  <c r="X209"/>
  <c r="Y209"/>
  <c r="Z209"/>
  <c r="H310"/>
  <c r="H341"/>
  <c r="H293"/>
  <c r="H309"/>
  <c r="H317"/>
  <c r="H333"/>
  <c r="H342"/>
  <c r="BK848"/>
  <c r="CX848"/>
  <c r="DB520"/>
  <c r="Y520"/>
  <c r="CQ531"/>
  <c r="CO531"/>
  <c r="AY531"/>
  <c r="DB531"/>
  <c r="Y531" s="1"/>
  <c r="CX531"/>
  <c r="CZ528"/>
  <c r="DB528"/>
  <c r="DB518"/>
  <c r="Y518"/>
  <c r="CQ528"/>
  <c r="CQ518"/>
  <c r="CO528"/>
  <c r="CO518"/>
  <c r="CX528"/>
  <c r="CX518"/>
  <c r="CM320"/>
  <c r="CX320"/>
  <c r="CM301"/>
  <c r="CL301"/>
  <c r="CM296"/>
  <c r="CL296"/>
  <c r="BY649"/>
  <c r="CT649"/>
  <c r="W649" s="1"/>
  <c r="CX649"/>
  <c r="X649" s="1"/>
  <c r="CQ1259"/>
  <c r="CO1259"/>
  <c r="CG1259"/>
  <c r="CI1259"/>
  <c r="AY1259"/>
  <c r="CX1259"/>
  <c r="X1259"/>
  <c r="Y1086"/>
  <c r="Y1083"/>
  <c r="Y577"/>
  <c r="CV848"/>
  <c r="CQ848"/>
  <c r="CO848"/>
  <c r="AD606"/>
  <c r="CQ606"/>
  <c r="CO606"/>
  <c r="AD608"/>
  <c r="CQ608"/>
  <c r="CO608"/>
  <c r="AD596"/>
  <c r="CQ596"/>
  <c r="CP596"/>
  <c r="CO596"/>
  <c r="AD602"/>
  <c r="AD624" s="1"/>
  <c r="CQ602"/>
  <c r="CO602"/>
  <c r="AD597"/>
  <c r="CQ597"/>
  <c r="CO597"/>
  <c r="H455"/>
  <c r="CT1276"/>
  <c r="W1276"/>
  <c r="Z1276"/>
  <c r="Y1276"/>
  <c r="X1276"/>
  <c r="CT1143"/>
  <c r="W1143" s="1"/>
  <c r="Z1143"/>
  <c r="Y1143"/>
  <c r="X1143"/>
  <c r="CT819"/>
  <c r="W819"/>
  <c r="Z819"/>
  <c r="Y819"/>
  <c r="X819"/>
  <c r="CT817"/>
  <c r="W817" s="1"/>
  <c r="Z817"/>
  <c r="Y817"/>
  <c r="X817"/>
  <c r="CT669"/>
  <c r="W669"/>
  <c r="Z669"/>
  <c r="Y669"/>
  <c r="X669"/>
  <c r="CT210"/>
  <c r="W210" s="1"/>
  <c r="Z210"/>
  <c r="Y210"/>
  <c r="X210"/>
  <c r="CT1271"/>
  <c r="W1271"/>
  <c r="Z1271"/>
  <c r="Y1271"/>
  <c r="X1271"/>
  <c r="CT1200"/>
  <c r="W1200" s="1"/>
  <c r="Z1200"/>
  <c r="Y1200"/>
  <c r="X1200"/>
  <c r="CT714"/>
  <c r="W714"/>
  <c r="Z714"/>
  <c r="Y714"/>
  <c r="X714"/>
  <c r="CT345"/>
  <c r="W345" s="1"/>
  <c r="Z345"/>
  <c r="Y345"/>
  <c r="X345"/>
  <c r="CT61"/>
  <c r="W61"/>
  <c r="Z61"/>
  <c r="Y61"/>
  <c r="X61"/>
  <c r="CT1472"/>
  <c r="W1472" s="1"/>
  <c r="Z1472"/>
  <c r="Y1472"/>
  <c r="X1472"/>
  <c r="CT670"/>
  <c r="W670"/>
  <c r="Z670"/>
  <c r="Y670"/>
  <c r="X670"/>
  <c r="CT347"/>
  <c r="W347" s="1"/>
  <c r="Z347"/>
  <c r="Y347"/>
  <c r="X347"/>
  <c r="CT1567"/>
  <c r="W1567"/>
  <c r="Z1567"/>
  <c r="Y1567"/>
  <c r="X1567"/>
  <c r="CT1566"/>
  <c r="W1566" s="1"/>
  <c r="Z1566"/>
  <c r="Y1566"/>
  <c r="X1566"/>
  <c r="CT1565"/>
  <c r="W1565"/>
  <c r="Z1565"/>
  <c r="Y1565"/>
  <c r="X1565"/>
  <c r="CT466"/>
  <c r="W466" s="1"/>
  <c r="Z466"/>
  <c r="Y466"/>
  <c r="X466"/>
  <c r="CT858"/>
  <c r="W858"/>
  <c r="Z858"/>
  <c r="Y858"/>
  <c r="X858"/>
  <c r="CT1199"/>
  <c r="W1199" s="1"/>
  <c r="Z1199"/>
  <c r="Y1199"/>
  <c r="X1199"/>
  <c r="CT1135"/>
  <c r="Z1135"/>
  <c r="Y1135"/>
  <c r="X1135"/>
  <c r="W1135"/>
  <c r="CT1136"/>
  <c r="W1136" s="1"/>
  <c r="Z1136"/>
  <c r="Y1136"/>
  <c r="X1136"/>
  <c r="CT1270"/>
  <c r="W1270"/>
  <c r="Z1270"/>
  <c r="Y1270"/>
  <c r="X1270"/>
  <c r="CT267"/>
  <c r="W267" s="1"/>
  <c r="Z267"/>
  <c r="Y267"/>
  <c r="X267"/>
  <c r="CT266"/>
  <c r="W266"/>
  <c r="Z266"/>
  <c r="Y266"/>
  <c r="X266"/>
  <c r="CT813"/>
  <c r="W813" s="1"/>
  <c r="Z813"/>
  <c r="Y813"/>
  <c r="X813"/>
  <c r="CT810"/>
  <c r="W810"/>
  <c r="Z810"/>
  <c r="Y810"/>
  <c r="X810"/>
  <c r="CT812"/>
  <c r="W812" s="1"/>
  <c r="Z812"/>
  <c r="Y812"/>
  <c r="X812"/>
  <c r="CT814"/>
  <c r="W814"/>
  <c r="Z814"/>
  <c r="Y814"/>
  <c r="X814"/>
  <c r="CT815"/>
  <c r="W815" s="1"/>
  <c r="Z815"/>
  <c r="Y815"/>
  <c r="X815"/>
  <c r="CT455"/>
  <c r="W455"/>
  <c r="Z455"/>
  <c r="Y455"/>
  <c r="X455"/>
  <c r="CT1377"/>
  <c r="W1377" s="1"/>
  <c r="Z1377"/>
  <c r="Y1377"/>
  <c r="X1377"/>
  <c r="CT119"/>
  <c r="W119"/>
  <c r="Z119"/>
  <c r="Y119"/>
  <c r="X119"/>
  <c r="CT1471"/>
  <c r="W1471" s="1"/>
  <c r="Z1471"/>
  <c r="Y1471"/>
  <c r="X1471"/>
  <c r="CT264"/>
  <c r="W264"/>
  <c r="Z264"/>
  <c r="Y264"/>
  <c r="X264"/>
  <c r="CT1132"/>
  <c r="W1132" s="1"/>
  <c r="Z1132"/>
  <c r="Y1132"/>
  <c r="X1132"/>
  <c r="CT432"/>
  <c r="W432"/>
  <c r="Z432"/>
  <c r="Y432"/>
  <c r="X432"/>
  <c r="CT554"/>
  <c r="W554" s="1"/>
  <c r="Z554"/>
  <c r="Y554"/>
  <c r="X554"/>
  <c r="CT1133"/>
  <c r="W1133"/>
  <c r="Z1133"/>
  <c r="Y1133"/>
  <c r="X1133"/>
  <c r="CT1134"/>
  <c r="W1134" s="1"/>
  <c r="Z1134"/>
  <c r="Y1134"/>
  <c r="X1134"/>
  <c r="H1002"/>
  <c r="AD949"/>
  <c r="AD954"/>
  <c r="H953"/>
  <c r="H938"/>
  <c r="Y484"/>
  <c r="CV957"/>
  <c r="Y1093"/>
  <c r="Y1088"/>
  <c r="CV187"/>
  <c r="AA1097"/>
  <c r="CM297"/>
  <c r="CL297"/>
  <c r="CX297"/>
  <c r="CW297"/>
  <c r="CO297"/>
  <c r="CO328"/>
  <c r="CX328"/>
  <c r="CO956"/>
  <c r="CX956"/>
  <c r="BY949"/>
  <c r="BX949"/>
  <c r="AY949"/>
  <c r="CQ62"/>
  <c r="CO62"/>
  <c r="CI62"/>
  <c r="BK62"/>
  <c r="DB62"/>
  <c r="CX62"/>
  <c r="BK39"/>
  <c r="CI39"/>
  <c r="CQ39"/>
  <c r="CP39"/>
  <c r="CX39"/>
  <c r="CW39"/>
  <c r="CO39"/>
  <c r="CN39"/>
  <c r="CX1348"/>
  <c r="BK847"/>
  <c r="CQ847"/>
  <c r="CO847"/>
  <c r="CX847"/>
  <c r="BK852"/>
  <c r="CQ849"/>
  <c r="CO849"/>
  <c r="BK849"/>
  <c r="CX849"/>
  <c r="CQ852"/>
  <c r="CO852"/>
  <c r="CX852"/>
  <c r="CX851"/>
  <c r="BK851"/>
  <c r="CQ851"/>
  <c r="CO851"/>
  <c r="BK843"/>
  <c r="CQ843"/>
  <c r="CO843"/>
  <c r="CX843"/>
  <c r="CV194"/>
  <c r="CV924"/>
  <c r="CV918"/>
  <c r="CV951"/>
  <c r="CV933"/>
  <c r="CV931"/>
  <c r="CV934"/>
  <c r="CV939"/>
  <c r="CV949"/>
  <c r="CV926"/>
  <c r="CV925"/>
  <c r="CV935"/>
  <c r="CV938"/>
  <c r="CV920"/>
  <c r="CU920"/>
  <c r="CV940"/>
  <c r="CV930"/>
  <c r="CV936"/>
  <c r="CV921"/>
  <c r="CV954"/>
  <c r="CV919"/>
  <c r="CV923"/>
  <c r="CV927"/>
  <c r="CV929"/>
  <c r="CV928"/>
  <c r="CV932"/>
  <c r="CV950"/>
  <c r="CV922"/>
  <c r="CM316"/>
  <c r="CL316"/>
  <c r="H1040"/>
  <c r="CX308"/>
  <c r="CW308"/>
  <c r="CX318"/>
  <c r="CW318"/>
  <c r="CX317"/>
  <c r="CW317"/>
  <c r="CQ850"/>
  <c r="CO850"/>
  <c r="BK850"/>
  <c r="CX850"/>
  <c r="CM329"/>
  <c r="CX329"/>
  <c r="CM334"/>
  <c r="CX334"/>
  <c r="CM309"/>
  <c r="CL309"/>
  <c r="CX309"/>
  <c r="CW309"/>
  <c r="CM311"/>
  <c r="CL311"/>
  <c r="CM312"/>
  <c r="CX312"/>
  <c r="CO316"/>
  <c r="CQ188"/>
  <c r="CO188"/>
  <c r="CI188"/>
  <c r="AY188"/>
  <c r="CX188"/>
  <c r="X188" s="1"/>
  <c r="AY484"/>
  <c r="CM318"/>
  <c r="CL318"/>
  <c r="CM317"/>
  <c r="CM308"/>
  <c r="CL308"/>
  <c r="CO308"/>
  <c r="CM307"/>
  <c r="CL307"/>
  <c r="CX307"/>
  <c r="CW307"/>
  <c r="CX336"/>
  <c r="CM305"/>
  <c r="CL305"/>
  <c r="CO305"/>
  <c r="CX305"/>
  <c r="CW305"/>
  <c r="H304"/>
  <c r="H316"/>
  <c r="H308"/>
  <c r="H302"/>
  <c r="BA1348"/>
  <c r="CV290"/>
  <c r="CV1400"/>
  <c r="CU1400"/>
  <c r="CV57"/>
  <c r="BY57"/>
  <c r="AW57"/>
  <c r="AU57"/>
  <c r="CG57"/>
  <c r="AY57"/>
  <c r="CQ57"/>
  <c r="CO57"/>
  <c r="CX57"/>
  <c r="CQ1348"/>
  <c r="CO1348"/>
  <c r="H1523"/>
  <c r="H1518"/>
  <c r="H1539"/>
  <c r="H1558"/>
  <c r="H1533"/>
  <c r="H1516"/>
  <c r="H1538"/>
  <c r="H1528"/>
  <c r="H1534"/>
  <c r="CM330"/>
  <c r="CT330"/>
  <c r="W330" s="1"/>
  <c r="CX330"/>
  <c r="CM332"/>
  <c r="CX332"/>
  <c r="BA192"/>
  <c r="BY192"/>
  <c r="CQ192"/>
  <c r="CO192"/>
  <c r="CX192"/>
  <c r="X192"/>
  <c r="H856"/>
  <c r="CV961"/>
  <c r="Z1401"/>
  <c r="CT667"/>
  <c r="W667" s="1"/>
  <c r="Z667"/>
  <c r="Y667"/>
  <c r="X667"/>
  <c r="CT666"/>
  <c r="W666"/>
  <c r="Z666"/>
  <c r="Y666"/>
  <c r="X666"/>
  <c r="CT1131"/>
  <c r="W1131" s="1"/>
  <c r="Z1131"/>
  <c r="Y1131"/>
  <c r="X1131"/>
  <c r="CT555"/>
  <c r="W555"/>
  <c r="Z555"/>
  <c r="Y555"/>
  <c r="X555"/>
  <c r="CT1130"/>
  <c r="W1130" s="1"/>
  <c r="Z1130"/>
  <c r="Y1130"/>
  <c r="X1130"/>
  <c r="CT905"/>
  <c r="W905"/>
  <c r="Z905"/>
  <c r="Y905"/>
  <c r="X905"/>
  <c r="CT1376"/>
  <c r="W1376" s="1"/>
  <c r="Z1376"/>
  <c r="Y1376"/>
  <c r="X1376"/>
  <c r="CT1375"/>
  <c r="W1375"/>
  <c r="Z1375"/>
  <c r="Y1375"/>
  <c r="X1375"/>
  <c r="CT1061"/>
  <c r="W1061" s="1"/>
  <c r="Z1061"/>
  <c r="Y1061"/>
  <c r="X1061"/>
  <c r="CT118"/>
  <c r="W118"/>
  <c r="Z118"/>
  <c r="Y118"/>
  <c r="X118"/>
  <c r="CT552"/>
  <c r="W552" s="1"/>
  <c r="Z552"/>
  <c r="Y552"/>
  <c r="X552"/>
  <c r="CT263"/>
  <c r="W263"/>
  <c r="Z263"/>
  <c r="Y263"/>
  <c r="X263"/>
  <c r="CT966"/>
  <c r="W966" s="1"/>
  <c r="Z966"/>
  <c r="Y966"/>
  <c r="X966"/>
  <c r="CT208"/>
  <c r="W208"/>
  <c r="Z208"/>
  <c r="Y208"/>
  <c r="X208"/>
  <c r="CT344"/>
  <c r="W344" s="1"/>
  <c r="Z344"/>
  <c r="Y344"/>
  <c r="X344"/>
  <c r="CT962"/>
  <c r="W962"/>
  <c r="Z962"/>
  <c r="Y962"/>
  <c r="X962"/>
  <c r="CT1361"/>
  <c r="W1361" s="1"/>
  <c r="Z1361"/>
  <c r="Y1361"/>
  <c r="X1361"/>
  <c r="CT1374"/>
  <c r="W1374"/>
  <c r="Z1374"/>
  <c r="Y1374"/>
  <c r="X1374"/>
  <c r="CT1269"/>
  <c r="W1269" s="1"/>
  <c r="Z1269"/>
  <c r="Y1269"/>
  <c r="X1269"/>
  <c r="CT965"/>
  <c r="W965"/>
  <c r="Z965"/>
  <c r="Y965"/>
  <c r="X965"/>
  <c r="CT963"/>
  <c r="W963" s="1"/>
  <c r="Z963"/>
  <c r="Y963"/>
  <c r="X963"/>
  <c r="CT964"/>
  <c r="W964"/>
  <c r="Z964"/>
  <c r="Y964"/>
  <c r="X964"/>
  <c r="CT1037"/>
  <c r="W1037" s="1"/>
  <c r="Z1037"/>
  <c r="Y1037"/>
  <c r="X1037"/>
  <c r="CT1044"/>
  <c r="W1044"/>
  <c r="Z1044"/>
  <c r="Y1044"/>
  <c r="X1044"/>
  <c r="CT1049"/>
  <c r="W1049" s="1"/>
  <c r="Z1049"/>
  <c r="Y1049"/>
  <c r="X1049"/>
  <c r="CT1036"/>
  <c r="W1036"/>
  <c r="Z1036"/>
  <c r="Y1036"/>
  <c r="X1036"/>
  <c r="CT1034"/>
  <c r="W1034" s="1"/>
  <c r="Z1034"/>
  <c r="Y1034"/>
  <c r="X1034"/>
  <c r="CT1051"/>
  <c r="W1051"/>
  <c r="Z1051"/>
  <c r="Y1051"/>
  <c r="X1051"/>
  <c r="CT796"/>
  <c r="W796" s="1"/>
  <c r="Z796"/>
  <c r="Y796"/>
  <c r="X796"/>
  <c r="CT805"/>
  <c r="W805"/>
  <c r="Z805"/>
  <c r="Y805"/>
  <c r="X805"/>
  <c r="CT806"/>
  <c r="W806" s="1"/>
  <c r="Z806"/>
  <c r="Y806"/>
  <c r="X806"/>
  <c r="CT800"/>
  <c r="W800"/>
  <c r="Z800"/>
  <c r="Y800"/>
  <c r="X800"/>
  <c r="CT1564"/>
  <c r="W1564" s="1"/>
  <c r="Z1564"/>
  <c r="Y1564"/>
  <c r="X1564"/>
  <c r="CT902"/>
  <c r="W902"/>
  <c r="Z902"/>
  <c r="Y902"/>
  <c r="X902"/>
  <c r="CT901"/>
  <c r="W901" s="1"/>
  <c r="Z901"/>
  <c r="Y901"/>
  <c r="X901"/>
  <c r="CT1562"/>
  <c r="W1562"/>
  <c r="Z1562"/>
  <c r="Y1562"/>
  <c r="X1562"/>
  <c r="CT1563"/>
  <c r="W1563" s="1"/>
  <c r="Z1563"/>
  <c r="Y1563"/>
  <c r="X1563"/>
  <c r="CT1053"/>
  <c r="W1053"/>
  <c r="Z1053"/>
  <c r="Y1053"/>
  <c r="X1053"/>
  <c r="CT1052"/>
  <c r="W1052" s="1"/>
  <c r="Z1052"/>
  <c r="Y1052"/>
  <c r="X1052"/>
  <c r="CT801"/>
  <c r="W801"/>
  <c r="Z801"/>
  <c r="Y801"/>
  <c r="X801"/>
  <c r="CT802"/>
  <c r="W802" s="1"/>
  <c r="Z802"/>
  <c r="Y802"/>
  <c r="X802"/>
  <c r="CT803"/>
  <c r="W803"/>
  <c r="Z803"/>
  <c r="Y803"/>
  <c r="X803"/>
  <c r="CT808"/>
  <c r="W808" s="1"/>
  <c r="Z808"/>
  <c r="Y808"/>
  <c r="X808"/>
  <c r="CT809"/>
  <c r="W809"/>
  <c r="Z809"/>
  <c r="Y809"/>
  <c r="X809"/>
  <c r="CT1198"/>
  <c r="W1198" s="1"/>
  <c r="Z1198"/>
  <c r="Y1198"/>
  <c r="X1198"/>
  <c r="CT622"/>
  <c r="W622"/>
  <c r="Z622"/>
  <c r="Y622"/>
  <c r="X622"/>
  <c r="CT1267"/>
  <c r="W1267" s="1"/>
  <c r="Z1267"/>
  <c r="Y1267"/>
  <c r="X1267"/>
  <c r="CT1268"/>
  <c r="W1268"/>
  <c r="Z1268"/>
  <c r="Y1268"/>
  <c r="X1268"/>
  <c r="CT465"/>
  <c r="W465" s="1"/>
  <c r="Z465"/>
  <c r="Y465"/>
  <c r="X465"/>
  <c r="CT1128"/>
  <c r="W1128"/>
  <c r="Z1128"/>
  <c r="Y1128"/>
  <c r="X1128"/>
  <c r="CT1129"/>
  <c r="W1129" s="1"/>
  <c r="Z1129"/>
  <c r="Y1129"/>
  <c r="X1129"/>
  <c r="CT262"/>
  <c r="W262"/>
  <c r="Z262"/>
  <c r="Y262"/>
  <c r="X262"/>
  <c r="CT898"/>
  <c r="W898" s="1"/>
  <c r="Z898"/>
  <c r="Y898"/>
  <c r="X898"/>
  <c r="CT900"/>
  <c r="W900"/>
  <c r="Z900"/>
  <c r="Y900"/>
  <c r="X900"/>
  <c r="CT431"/>
  <c r="W431" s="1"/>
  <c r="Z431"/>
  <c r="Y431"/>
  <c r="X431"/>
  <c r="CT1126"/>
  <c r="W1126"/>
  <c r="Z1126"/>
  <c r="Y1126"/>
  <c r="X1126"/>
  <c r="CT261"/>
  <c r="W261" s="1"/>
  <c r="Z261"/>
  <c r="Y261"/>
  <c r="X261"/>
  <c r="CT1558"/>
  <c r="W1558"/>
  <c r="Z1558"/>
  <c r="Y1558"/>
  <c r="X1558"/>
  <c r="CT1559"/>
  <c r="W1559" s="1"/>
  <c r="Z1559"/>
  <c r="Y1559"/>
  <c r="X1559"/>
  <c r="CT1014"/>
  <c r="W1014"/>
  <c r="Z1014"/>
  <c r="Y1014"/>
  <c r="X1014"/>
  <c r="CT464"/>
  <c r="W464" s="1"/>
  <c r="Z464"/>
  <c r="Y464"/>
  <c r="X464"/>
  <c r="H410"/>
  <c r="CT1264"/>
  <c r="Z1264"/>
  <c r="Y1264"/>
  <c r="X1264"/>
  <c r="W1264"/>
  <c r="CT403"/>
  <c r="W403"/>
  <c r="Z403"/>
  <c r="Y403"/>
  <c r="X403"/>
  <c r="CT413"/>
  <c r="W413" s="1"/>
  <c r="Z413"/>
  <c r="Y413"/>
  <c r="X413"/>
  <c r="CT410"/>
  <c r="W410"/>
  <c r="Z410"/>
  <c r="Y410"/>
  <c r="X410"/>
  <c r="CT1194"/>
  <c r="W1194" s="1"/>
  <c r="Z1194"/>
  <c r="Y1194"/>
  <c r="X1194"/>
  <c r="CT1196"/>
  <c r="W1196"/>
  <c r="Z1196"/>
  <c r="Y1196"/>
  <c r="X1196"/>
  <c r="CT1195"/>
  <c r="W1195" s="1"/>
  <c r="Z1195"/>
  <c r="Y1195"/>
  <c r="X1195"/>
  <c r="CT1197"/>
  <c r="W1197"/>
  <c r="Z1197"/>
  <c r="Y1197"/>
  <c r="X1197"/>
  <c r="CT1560"/>
  <c r="W1560" s="1"/>
  <c r="Z1560"/>
  <c r="Y1560"/>
  <c r="X1560"/>
  <c r="CT1555"/>
  <c r="W1555"/>
  <c r="Z1555"/>
  <c r="Y1555"/>
  <c r="X1555"/>
  <c r="H744"/>
  <c r="H198"/>
  <c r="H206"/>
  <c r="H207"/>
  <c r="H191"/>
  <c r="H195"/>
  <c r="H204"/>
  <c r="H202"/>
  <c r="H168"/>
  <c r="H205"/>
  <c r="H196"/>
  <c r="Z613"/>
  <c r="Y613"/>
  <c r="X613"/>
  <c r="CX682"/>
  <c r="CW682"/>
  <c r="CX708"/>
  <c r="CW708"/>
  <c r="CX698"/>
  <c r="CW698"/>
  <c r="AY709"/>
  <c r="CX709"/>
  <c r="CW709"/>
  <c r="CQ709"/>
  <c r="CO709"/>
  <c r="CX922"/>
  <c r="CW922"/>
  <c r="H415"/>
  <c r="H420"/>
  <c r="CT668"/>
  <c r="Z668"/>
  <c r="Y668"/>
  <c r="X668"/>
  <c r="W668"/>
  <c r="CT899"/>
  <c r="W899" s="1"/>
  <c r="Z899"/>
  <c r="Y899"/>
  <c r="X899"/>
  <c r="CT1127"/>
  <c r="W1127"/>
  <c r="Z1127"/>
  <c r="Y1127"/>
  <c r="X1127"/>
  <c r="CT259"/>
  <c r="W259" s="1"/>
  <c r="Z259"/>
  <c r="Y259"/>
  <c r="X259"/>
  <c r="CT117"/>
  <c r="W117"/>
  <c r="Z117"/>
  <c r="Y117"/>
  <c r="X117"/>
  <c r="CT1260"/>
  <c r="W1260" s="1"/>
  <c r="Z1260"/>
  <c r="Y1260"/>
  <c r="X1260"/>
  <c r="CT1554"/>
  <c r="W1554"/>
  <c r="Z1554"/>
  <c r="Y1554"/>
  <c r="X1554"/>
  <c r="CT1556"/>
  <c r="W1556" s="1"/>
  <c r="Z1556"/>
  <c r="Y1556"/>
  <c r="X1556"/>
  <c r="CT1561"/>
  <c r="W1561"/>
  <c r="Z1561"/>
  <c r="Y1561"/>
  <c r="X1561"/>
  <c r="CT206"/>
  <c r="W206" s="1"/>
  <c r="Z206"/>
  <c r="Y206"/>
  <c r="X206"/>
  <c r="CT207"/>
  <c r="W207"/>
  <c r="Z207"/>
  <c r="Y207"/>
  <c r="X207"/>
  <c r="CT205"/>
  <c r="W205" s="1"/>
  <c r="Z205"/>
  <c r="Y205"/>
  <c r="X205"/>
  <c r="CT116"/>
  <c r="W116"/>
  <c r="Z116"/>
  <c r="Y116"/>
  <c r="X116"/>
  <c r="CT463"/>
  <c r="W463" s="1"/>
  <c r="Z463"/>
  <c r="Y463"/>
  <c r="X463"/>
  <c r="CT420"/>
  <c r="W420"/>
  <c r="Z420"/>
  <c r="Y420"/>
  <c r="X420"/>
  <c r="CT415"/>
  <c r="W415" s="1"/>
  <c r="Z415"/>
  <c r="Y415"/>
  <c r="X415"/>
  <c r="H423"/>
  <c r="H419"/>
  <c r="H417"/>
  <c r="H421"/>
  <c r="H424"/>
  <c r="H411"/>
  <c r="H409"/>
  <c r="H416"/>
  <c r="H396"/>
  <c r="H340"/>
  <c r="AD705"/>
  <c r="CT423"/>
  <c r="W423" s="1"/>
  <c r="Z423"/>
  <c r="Y423"/>
  <c r="X423"/>
  <c r="CT419"/>
  <c r="W419"/>
  <c r="Z419"/>
  <c r="Y419"/>
  <c r="X419"/>
  <c r="CT417"/>
  <c r="W417" s="1"/>
  <c r="Z417"/>
  <c r="Y417"/>
  <c r="X417"/>
  <c r="CT421"/>
  <c r="W421"/>
  <c r="Z421"/>
  <c r="Y421"/>
  <c r="X421"/>
  <c r="CT424"/>
  <c r="W424" s="1"/>
  <c r="Z424"/>
  <c r="Y424"/>
  <c r="X424"/>
  <c r="CT416"/>
  <c r="W416"/>
  <c r="Z416"/>
  <c r="Y416"/>
  <c r="X416"/>
  <c r="CT418"/>
  <c r="W418" s="1"/>
  <c r="Z418"/>
  <c r="Y418"/>
  <c r="X418"/>
  <c r="CT396"/>
  <c r="W396"/>
  <c r="Z396"/>
  <c r="Y396"/>
  <c r="X396"/>
  <c r="CT414"/>
  <c r="W414" s="1"/>
  <c r="Z414"/>
  <c r="Y414"/>
  <c r="X414"/>
  <c r="CT1548"/>
  <c r="W1548"/>
  <c r="Z1548"/>
  <c r="Y1548"/>
  <c r="X1548"/>
  <c r="CT1369"/>
  <c r="W1369" s="1"/>
  <c r="Z1369"/>
  <c r="Y1369"/>
  <c r="X1369"/>
  <c r="Z1259"/>
  <c r="Y1259"/>
  <c r="CT655"/>
  <c r="W655"/>
  <c r="Z655"/>
  <c r="Y655"/>
  <c r="X655"/>
  <c r="CT340"/>
  <c r="W340" s="1"/>
  <c r="Z340"/>
  <c r="Y340"/>
  <c r="X340"/>
  <c r="CT1470"/>
  <c r="W1470"/>
  <c r="Z1470"/>
  <c r="Y1470"/>
  <c r="X1470"/>
  <c r="CT115"/>
  <c r="W115" s="1"/>
  <c r="Z115"/>
  <c r="Y115"/>
  <c r="X115"/>
  <c r="CT1125"/>
  <c r="W1125"/>
  <c r="Z1125"/>
  <c r="Y1125"/>
  <c r="X1125"/>
  <c r="CT204"/>
  <c r="W204" s="1"/>
  <c r="Z204"/>
  <c r="Y204"/>
  <c r="X204"/>
  <c r="CT462"/>
  <c r="W462"/>
  <c r="Z462"/>
  <c r="Y462"/>
  <c r="X462"/>
  <c r="CT458"/>
  <c r="W458" s="1"/>
  <c r="Z458"/>
  <c r="Y458"/>
  <c r="X458"/>
  <c r="CT460"/>
  <c r="W460"/>
  <c r="Z460"/>
  <c r="Y460"/>
  <c r="X460"/>
  <c r="CT459"/>
  <c r="W459" s="1"/>
  <c r="Z459"/>
  <c r="Y459"/>
  <c r="X459"/>
  <c r="H3"/>
  <c r="I3"/>
  <c r="CT1265"/>
  <c r="Z1265"/>
  <c r="Y1265"/>
  <c r="X1265"/>
  <c r="W1265"/>
  <c r="CT1266"/>
  <c r="W1266" s="1"/>
  <c r="Z1266"/>
  <c r="Y1266"/>
  <c r="X1266"/>
  <c r="CT1557"/>
  <c r="W1557"/>
  <c r="Z1557"/>
  <c r="Y1557"/>
  <c r="X1557"/>
  <c r="CT1553"/>
  <c r="W1553" s="1"/>
  <c r="Z1553"/>
  <c r="Y1553"/>
  <c r="X1553"/>
  <c r="CT260"/>
  <c r="W260"/>
  <c r="Z260"/>
  <c r="Y260"/>
  <c r="X260"/>
  <c r="CT507"/>
  <c r="W507" s="1"/>
  <c r="Z507"/>
  <c r="Y507"/>
  <c r="X507"/>
  <c r="CT430"/>
  <c r="W430"/>
  <c r="Z430"/>
  <c r="Y430"/>
  <c r="X430"/>
  <c r="CT429"/>
  <c r="W429" s="1"/>
  <c r="Z429"/>
  <c r="Y429"/>
  <c r="X429"/>
  <c r="CT1406"/>
  <c r="W1406"/>
  <c r="Z1406"/>
  <c r="Y1406"/>
  <c r="X1406"/>
  <c r="CT203"/>
  <c r="W203" s="1"/>
  <c r="Z203"/>
  <c r="Y203"/>
  <c r="X203"/>
  <c r="CT114"/>
  <c r="W114"/>
  <c r="Z114"/>
  <c r="Y114"/>
  <c r="X114"/>
  <c r="CT1041"/>
  <c r="W1041" s="1"/>
  <c r="Z1041"/>
  <c r="Y1041"/>
  <c r="X1041"/>
  <c r="CT1045"/>
  <c r="W1045"/>
  <c r="Z1045"/>
  <c r="Y1045"/>
  <c r="X1045"/>
  <c r="CT1046"/>
  <c r="W1046" s="1"/>
  <c r="Z1046"/>
  <c r="Y1046"/>
  <c r="X1046"/>
  <c r="CT1042"/>
  <c r="W1042"/>
  <c r="Z1042"/>
  <c r="Y1042"/>
  <c r="X1042"/>
  <c r="CT1038"/>
  <c r="W1038" s="1"/>
  <c r="Z1038"/>
  <c r="Y1038"/>
  <c r="X1038"/>
  <c r="CT1030"/>
  <c r="W1030"/>
  <c r="Z1030"/>
  <c r="Y1030"/>
  <c r="X1030"/>
  <c r="CT1545"/>
  <c r="W1545" s="1"/>
  <c r="Z1545"/>
  <c r="Y1545"/>
  <c r="X1545"/>
  <c r="K343"/>
  <c r="K355"/>
  <c r="CT1544"/>
  <c r="Z1544"/>
  <c r="Y1544"/>
  <c r="X1544"/>
  <c r="W1544"/>
  <c r="CT1013"/>
  <c r="Z1013"/>
  <c r="Y1013"/>
  <c r="X1013"/>
  <c r="W1013"/>
  <c r="CT1005"/>
  <c r="Z1005"/>
  <c r="Y1005"/>
  <c r="X1005"/>
  <c r="W1005"/>
  <c r="CT621"/>
  <c r="Z621"/>
  <c r="Y621"/>
  <c r="X621"/>
  <c r="W621"/>
  <c r="CT619"/>
  <c r="Z619"/>
  <c r="Y619"/>
  <c r="X619"/>
  <c r="W619"/>
  <c r="CT138"/>
  <c r="Z138"/>
  <c r="Y138"/>
  <c r="X138"/>
  <c r="W138"/>
  <c r="CT113"/>
  <c r="W113"/>
  <c r="Z113"/>
  <c r="Y113"/>
  <c r="X113"/>
  <c r="CT88"/>
  <c r="W88" s="1"/>
  <c r="Z88"/>
  <c r="Y88"/>
  <c r="X88"/>
  <c r="CT1040"/>
  <c r="W1040"/>
  <c r="Z1040"/>
  <c r="Y1040"/>
  <c r="X1040"/>
  <c r="CT1039"/>
  <c r="W1039" s="1"/>
  <c r="Z1039"/>
  <c r="Y1039"/>
  <c r="X1039"/>
  <c r="CT1033"/>
  <c r="W1033"/>
  <c r="Z1033"/>
  <c r="Y1033"/>
  <c r="X1033"/>
  <c r="CT1546"/>
  <c r="W1546" s="1"/>
  <c r="Z1546"/>
  <c r="Y1546"/>
  <c r="X1546"/>
  <c r="CT897"/>
  <c r="W897"/>
  <c r="Z897"/>
  <c r="Y897"/>
  <c r="X897"/>
  <c r="CT804"/>
  <c r="W804" s="1"/>
  <c r="Z804"/>
  <c r="Y804"/>
  <c r="X804"/>
  <c r="H789"/>
  <c r="I789"/>
  <c r="K789"/>
  <c r="K826"/>
  <c r="K794"/>
  <c r="CT461"/>
  <c r="Z461"/>
  <c r="Y461"/>
  <c r="X461"/>
  <c r="W461"/>
  <c r="CT457"/>
  <c r="W457"/>
  <c r="Z457"/>
  <c r="Y457"/>
  <c r="X457"/>
  <c r="CT339"/>
  <c r="W339" s="1"/>
  <c r="Z339"/>
  <c r="Y339"/>
  <c r="X339"/>
  <c r="CT792"/>
  <c r="W792"/>
  <c r="Z792"/>
  <c r="Y792"/>
  <c r="X792"/>
  <c r="CT807"/>
  <c r="W807" s="1"/>
  <c r="Z807"/>
  <c r="Y807"/>
  <c r="X807"/>
  <c r="CT797"/>
  <c r="W797"/>
  <c r="Z797"/>
  <c r="Y797"/>
  <c r="X797"/>
  <c r="CT798"/>
  <c r="W798" s="1"/>
  <c r="Z798"/>
  <c r="Y798"/>
  <c r="X798"/>
  <c r="CT799"/>
  <c r="W799"/>
  <c r="Z799"/>
  <c r="Y799"/>
  <c r="X799"/>
  <c r="CT112"/>
  <c r="W112" s="1"/>
  <c r="Z112"/>
  <c r="Y112"/>
  <c r="X112"/>
  <c r="CT620"/>
  <c r="W620"/>
  <c r="Z620"/>
  <c r="Y620"/>
  <c r="X620"/>
  <c r="CT1467"/>
  <c r="W1467" s="1"/>
  <c r="Z1467"/>
  <c r="Y1467"/>
  <c r="X1467"/>
  <c r="CT550"/>
  <c r="W550"/>
  <c r="Z550"/>
  <c r="Y550"/>
  <c r="X550"/>
  <c r="CT795"/>
  <c r="W795" s="1"/>
  <c r="Z795"/>
  <c r="Y795"/>
  <c r="X795"/>
  <c r="CT1536"/>
  <c r="W1536"/>
  <c r="Z1536"/>
  <c r="Y1536"/>
  <c r="X1536"/>
  <c r="CT1533"/>
  <c r="W1533" s="1"/>
  <c r="Z1533"/>
  <c r="Y1533"/>
  <c r="X1533"/>
  <c r="CT1518"/>
  <c r="W1518"/>
  <c r="Z1518"/>
  <c r="Y1518"/>
  <c r="X1518"/>
  <c r="CT1511"/>
  <c r="W1511" s="1"/>
  <c r="Z1511"/>
  <c r="Y1511"/>
  <c r="X1511"/>
  <c r="CT1513"/>
  <c r="W1513"/>
  <c r="Z1513"/>
  <c r="Y1513"/>
  <c r="X1513"/>
  <c r="CT1469"/>
  <c r="W1469" s="1"/>
  <c r="Z1469"/>
  <c r="Y1469"/>
  <c r="X1469"/>
  <c r="CT1012"/>
  <c r="W1012"/>
  <c r="Z1012"/>
  <c r="Y1012"/>
  <c r="X1012"/>
  <c r="CT202"/>
  <c r="W202" s="1"/>
  <c r="Z202"/>
  <c r="Y202"/>
  <c r="X202"/>
  <c r="CT343"/>
  <c r="W343"/>
  <c r="Z343"/>
  <c r="Y343"/>
  <c r="X343"/>
  <c r="CT505"/>
  <c r="W505" s="1"/>
  <c r="Z505"/>
  <c r="Y505"/>
  <c r="X505"/>
  <c r="CT506"/>
  <c r="W506"/>
  <c r="Z506"/>
  <c r="Y506"/>
  <c r="X506"/>
  <c r="CT615"/>
  <c r="W615" s="1"/>
  <c r="Z615"/>
  <c r="Y615"/>
  <c r="X615"/>
  <c r="CT1043"/>
  <c r="W1043"/>
  <c r="Z1043"/>
  <c r="Y1043"/>
  <c r="X1043"/>
  <c r="CT1373"/>
  <c r="Z1373"/>
  <c r="Y1373"/>
  <c r="X1373"/>
  <c r="W1373"/>
  <c r="CT1370"/>
  <c r="W1370"/>
  <c r="Z1370"/>
  <c r="Y1370"/>
  <c r="X1370"/>
  <c r="CT1468"/>
  <c r="W1468" s="1"/>
  <c r="Z1468"/>
  <c r="Y1468"/>
  <c r="X1468"/>
  <c r="CT665"/>
  <c r="W665"/>
  <c r="Z665"/>
  <c r="Y665"/>
  <c r="X665"/>
  <c r="CT664"/>
  <c r="W664" s="1"/>
  <c r="Z664"/>
  <c r="Y664"/>
  <c r="X664"/>
  <c r="CT618"/>
  <c r="W618"/>
  <c r="Z618"/>
  <c r="Y618"/>
  <c r="X618"/>
  <c r="CT1552"/>
  <c r="W1552" s="1"/>
  <c r="Z1552"/>
  <c r="Y1552"/>
  <c r="X1552"/>
  <c r="CT712"/>
  <c r="W712"/>
  <c r="Z712"/>
  <c r="Y712"/>
  <c r="X712"/>
  <c r="H608"/>
  <c r="K608"/>
  <c r="K624"/>
  <c r="CT1011"/>
  <c r="Z1011"/>
  <c r="Y1011"/>
  <c r="X1011"/>
  <c r="W1011"/>
  <c r="CT1372"/>
  <c r="Z1372"/>
  <c r="Y1372"/>
  <c r="X1372"/>
  <c r="W1372"/>
  <c r="CT1547"/>
  <c r="Z1547"/>
  <c r="Y1547"/>
  <c r="X1547"/>
  <c r="W1547"/>
  <c r="CT258"/>
  <c r="Z258"/>
  <c r="Y258"/>
  <c r="X258"/>
  <c r="W258"/>
  <c r="CT257"/>
  <c r="Z257"/>
  <c r="Y257"/>
  <c r="X257"/>
  <c r="W257"/>
  <c r="CT661"/>
  <c r="Z661"/>
  <c r="Y661"/>
  <c r="X661"/>
  <c r="W661"/>
  <c r="CT662"/>
  <c r="Z662"/>
  <c r="Y662"/>
  <c r="X662"/>
  <c r="W662"/>
  <c r="CT663"/>
  <c r="Z663"/>
  <c r="Y663"/>
  <c r="X663"/>
  <c r="W663"/>
  <c r="CT1551"/>
  <c r="Z1551"/>
  <c r="Y1551"/>
  <c r="X1551"/>
  <c r="W1551"/>
  <c r="CT1550"/>
  <c r="Z1550"/>
  <c r="Y1550"/>
  <c r="X1550"/>
  <c r="W1550"/>
  <c r="CT1549"/>
  <c r="Z1549"/>
  <c r="Y1549"/>
  <c r="X1549"/>
  <c r="W1549"/>
  <c r="CT793"/>
  <c r="Z793"/>
  <c r="Y793"/>
  <c r="X793"/>
  <c r="W793"/>
  <c r="CT794"/>
  <c r="Z794"/>
  <c r="Y794"/>
  <c r="X794"/>
  <c r="W794"/>
  <c r="CT1193"/>
  <c r="Z1193"/>
  <c r="Y1193"/>
  <c r="X1193"/>
  <c r="W1193"/>
  <c r="CT256"/>
  <c r="Z256"/>
  <c r="Y256"/>
  <c r="X256"/>
  <c r="W256"/>
  <c r="CT1371"/>
  <c r="Z1371"/>
  <c r="Y1371"/>
  <c r="X1371"/>
  <c r="W1371"/>
  <c r="CT427"/>
  <c r="Z427"/>
  <c r="Y427"/>
  <c r="X427"/>
  <c r="W427"/>
  <c r="CT548"/>
  <c r="W548" s="1"/>
  <c r="Z548"/>
  <c r="Y548"/>
  <c r="X548"/>
  <c r="CT1124"/>
  <c r="W1124"/>
  <c r="Z1124"/>
  <c r="Y1124"/>
  <c r="X1124"/>
  <c r="CT896"/>
  <c r="W896" s="1"/>
  <c r="Z896"/>
  <c r="Y896"/>
  <c r="X896"/>
  <c r="CT1263"/>
  <c r="W1263"/>
  <c r="Z1263"/>
  <c r="Y1263"/>
  <c r="X1263"/>
  <c r="CT1261"/>
  <c r="W1261" s="1"/>
  <c r="Z1261"/>
  <c r="Y1261"/>
  <c r="X1261"/>
  <c r="CT1531"/>
  <c r="W1531"/>
  <c r="Z1531"/>
  <c r="Y1531"/>
  <c r="X1531"/>
  <c r="CT1534"/>
  <c r="W1534" s="1"/>
  <c r="Z1534"/>
  <c r="Y1534"/>
  <c r="X1534"/>
  <c r="H703"/>
  <c r="H782"/>
  <c r="I782"/>
  <c r="H189"/>
  <c r="H1464"/>
  <c r="I1464"/>
  <c r="I1476" s="1"/>
  <c r="CT1532"/>
  <c r="W1532" s="1"/>
  <c r="Z1532"/>
  <c r="Y1532"/>
  <c r="X1532"/>
  <c r="CT428"/>
  <c r="W428"/>
  <c r="Z428"/>
  <c r="Y428"/>
  <c r="X428"/>
  <c r="CT255"/>
  <c r="W255" s="1"/>
  <c r="Z255"/>
  <c r="Y255"/>
  <c r="X255"/>
  <c r="CT791"/>
  <c r="W791"/>
  <c r="Z791"/>
  <c r="Y791"/>
  <c r="X791"/>
  <c r="CT783"/>
  <c r="W783" s="1"/>
  <c r="Z783"/>
  <c r="Y783"/>
  <c r="X783"/>
  <c r="CT110"/>
  <c r="W110"/>
  <c r="Z110"/>
  <c r="Y110"/>
  <c r="X110"/>
  <c r="CT545"/>
  <c r="W545" s="1"/>
  <c r="Z545"/>
  <c r="Y545"/>
  <c r="X545"/>
  <c r="CT546"/>
  <c r="W546"/>
  <c r="Z546"/>
  <c r="Y546"/>
  <c r="X546"/>
  <c r="CT547"/>
  <c r="W547" s="1"/>
  <c r="Z547"/>
  <c r="Y547"/>
  <c r="X547"/>
  <c r="CT1123"/>
  <c r="W1123"/>
  <c r="Z1123"/>
  <c r="Y1123"/>
  <c r="X1123"/>
  <c r="CT111"/>
  <c r="W111" s="1"/>
  <c r="Z111"/>
  <c r="Y111"/>
  <c r="X111"/>
  <c r="CT1466"/>
  <c r="W1466"/>
  <c r="Z1466"/>
  <c r="Y1466"/>
  <c r="X1466"/>
  <c r="CT1262"/>
  <c r="W1262" s="1"/>
  <c r="Z1262"/>
  <c r="Y1262"/>
  <c r="X1262"/>
  <c r="CT790"/>
  <c r="W790"/>
  <c r="Z790"/>
  <c r="Y790"/>
  <c r="X790"/>
  <c r="CT617"/>
  <c r="W617" s="1"/>
  <c r="Z617"/>
  <c r="Y617"/>
  <c r="X617"/>
  <c r="CT713"/>
  <c r="W713"/>
  <c r="Z713"/>
  <c r="Y713"/>
  <c r="X713"/>
  <c r="CT1010"/>
  <c r="W1010" s="1"/>
  <c r="Z1010"/>
  <c r="Y1010"/>
  <c r="X1010"/>
  <c r="CT1256"/>
  <c r="W1256"/>
  <c r="Z1256"/>
  <c r="Y1256"/>
  <c r="X1256"/>
  <c r="CT1255"/>
  <c r="W1255" s="1"/>
  <c r="Z1255"/>
  <c r="Y1255"/>
  <c r="X1255"/>
  <c r="CT1257"/>
  <c r="W1257"/>
  <c r="Z1257"/>
  <c r="Y1257"/>
  <c r="X1257"/>
  <c r="CT425"/>
  <c r="W425" s="1"/>
  <c r="Z425"/>
  <c r="Y425"/>
  <c r="X425"/>
  <c r="CT426"/>
  <c r="W426"/>
  <c r="Z426"/>
  <c r="Y426"/>
  <c r="X426"/>
  <c r="CT105"/>
  <c r="W105" s="1"/>
  <c r="Z105"/>
  <c r="Y105"/>
  <c r="X105"/>
  <c r="CT109"/>
  <c r="W109"/>
  <c r="Z109"/>
  <c r="Y109"/>
  <c r="X109"/>
  <c r="CT108"/>
  <c r="W108" s="1"/>
  <c r="Z108"/>
  <c r="Y108"/>
  <c r="X108"/>
  <c r="CT201"/>
  <c r="W201"/>
  <c r="Z201"/>
  <c r="Y201"/>
  <c r="X201"/>
  <c r="CT1258"/>
  <c r="W1258" s="1"/>
  <c r="Z1258"/>
  <c r="Y1258"/>
  <c r="X1258"/>
  <c r="CT1541"/>
  <c r="W1541"/>
  <c r="Z1541"/>
  <c r="Y1541"/>
  <c r="X1541"/>
  <c r="CT789"/>
  <c r="W789" s="1"/>
  <c r="Z789"/>
  <c r="Y789"/>
  <c r="X789"/>
  <c r="CT1122"/>
  <c r="W1122"/>
  <c r="Z1122"/>
  <c r="Y1122"/>
  <c r="X1122"/>
  <c r="CT107"/>
  <c r="W107" s="1"/>
  <c r="Z107"/>
  <c r="Y107"/>
  <c r="X107"/>
  <c r="CT106"/>
  <c r="W106"/>
  <c r="Z106"/>
  <c r="Y106"/>
  <c r="X106"/>
  <c r="CT1035"/>
  <c r="W1035" s="1"/>
  <c r="Z1035"/>
  <c r="Y1035"/>
  <c r="X1035"/>
  <c r="CT189"/>
  <c r="W189"/>
  <c r="Z189"/>
  <c r="Y189"/>
  <c r="X189"/>
  <c r="CT1542"/>
  <c r="W1542" s="1"/>
  <c r="Z1542"/>
  <c r="Y1542"/>
  <c r="X1542"/>
  <c r="CT1525"/>
  <c r="W1525"/>
  <c r="Z1525"/>
  <c r="Y1525"/>
  <c r="X1525"/>
  <c r="CT1543"/>
  <c r="W1543" s="1"/>
  <c r="Z1543"/>
  <c r="Y1543"/>
  <c r="X1543"/>
  <c r="CT1465"/>
  <c r="W1465"/>
  <c r="Z1465"/>
  <c r="Y1465"/>
  <c r="X1465"/>
  <c r="CT1251"/>
  <c r="W1251" s="1"/>
  <c r="Z1251"/>
  <c r="Y1251"/>
  <c r="X1251"/>
  <c r="CT1254"/>
  <c r="W1254"/>
  <c r="Z1254"/>
  <c r="Y1254"/>
  <c r="X1254"/>
  <c r="CT1253"/>
  <c r="W1253" s="1"/>
  <c r="Z1253"/>
  <c r="Y1253"/>
  <c r="X1253"/>
  <c r="CT1252"/>
  <c r="W1252"/>
  <c r="Z1252"/>
  <c r="Y1252"/>
  <c r="X1252"/>
  <c r="CT1007"/>
  <c r="W1007" s="1"/>
  <c r="Z1007"/>
  <c r="Y1007"/>
  <c r="X1007"/>
  <c r="CT1009"/>
  <c r="W1009"/>
  <c r="Z1009"/>
  <c r="Y1009"/>
  <c r="X1009"/>
  <c r="CT1008"/>
  <c r="W1008" s="1"/>
  <c r="Z1008"/>
  <c r="Y1008"/>
  <c r="X1008"/>
  <c r="CT1464"/>
  <c r="W1464"/>
  <c r="Z1464"/>
  <c r="Y1464"/>
  <c r="X1464"/>
  <c r="H894"/>
  <c r="H912" s="1"/>
  <c r="CT543"/>
  <c r="W543" s="1"/>
  <c r="Z543"/>
  <c r="Y543"/>
  <c r="X543"/>
  <c r="CT422"/>
  <c r="W422"/>
  <c r="Z422"/>
  <c r="Y422"/>
  <c r="X422"/>
  <c r="CT1249"/>
  <c r="W1249" s="1"/>
  <c r="Z1249"/>
  <c r="Y1249"/>
  <c r="X1249"/>
  <c r="CT342"/>
  <c r="W342"/>
  <c r="Z342"/>
  <c r="Y342"/>
  <c r="X342"/>
  <c r="CT341"/>
  <c r="W341" s="1"/>
  <c r="Z341"/>
  <c r="Y341"/>
  <c r="X341"/>
  <c r="CT1118"/>
  <c r="W1118"/>
  <c r="Z1118"/>
  <c r="Y1118"/>
  <c r="X1118"/>
  <c r="CT1117"/>
  <c r="W1117" s="1"/>
  <c r="Z1117"/>
  <c r="Y1117"/>
  <c r="X1117"/>
  <c r="CT1121"/>
  <c r="W1121"/>
  <c r="Z1121"/>
  <c r="Y1121"/>
  <c r="X1121"/>
  <c r="CT1120"/>
  <c r="W1120" s="1"/>
  <c r="Z1120"/>
  <c r="Y1120"/>
  <c r="X1120"/>
  <c r="CT1119"/>
  <c r="W1119"/>
  <c r="Z1119"/>
  <c r="Y1119"/>
  <c r="X1119"/>
  <c r="CT198"/>
  <c r="W198" s="1"/>
  <c r="Z198"/>
  <c r="Y198"/>
  <c r="X198"/>
  <c r="CT200"/>
  <c r="W200"/>
  <c r="Z200"/>
  <c r="Y200"/>
  <c r="X200"/>
  <c r="CT199"/>
  <c r="W199" s="1"/>
  <c r="Z199"/>
  <c r="Y199"/>
  <c r="X199"/>
  <c r="H483"/>
  <c r="H485"/>
  <c r="H484"/>
  <c r="CT1539"/>
  <c r="Z1539"/>
  <c r="Y1539"/>
  <c r="X1539"/>
  <c r="W1539"/>
  <c r="CT103"/>
  <c r="Z103"/>
  <c r="Y103"/>
  <c r="X103"/>
  <c r="W103"/>
  <c r="CT1538"/>
  <c r="Z1538"/>
  <c r="Y1538"/>
  <c r="X1538"/>
  <c r="W1538"/>
  <c r="CT1405"/>
  <c r="Z1405"/>
  <c r="Y1405"/>
  <c r="X1405"/>
  <c r="W1405"/>
  <c r="CT411"/>
  <c r="Z411"/>
  <c r="Y411"/>
  <c r="X411"/>
  <c r="W411"/>
  <c r="CT1368"/>
  <c r="Z1368"/>
  <c r="Y1368"/>
  <c r="X1368"/>
  <c r="W1368"/>
  <c r="CT104"/>
  <c r="Z104"/>
  <c r="Y104"/>
  <c r="X104"/>
  <c r="W104"/>
  <c r="CT483"/>
  <c r="Z483"/>
  <c r="Y483"/>
  <c r="X483"/>
  <c r="W483"/>
  <c r="CT485"/>
  <c r="Z485"/>
  <c r="Y485"/>
  <c r="X485"/>
  <c r="W485"/>
  <c r="CT1250"/>
  <c r="Z1250"/>
  <c r="Y1250"/>
  <c r="X1250"/>
  <c r="W1250"/>
  <c r="CT894"/>
  <c r="Z894"/>
  <c r="Y894"/>
  <c r="X894"/>
  <c r="W894"/>
  <c r="CT891"/>
  <c r="Z891"/>
  <c r="Y891"/>
  <c r="X891"/>
  <c r="W891"/>
  <c r="CT786"/>
  <c r="Z786"/>
  <c r="Y786"/>
  <c r="X786"/>
  <c r="W786"/>
  <c r="CT787"/>
  <c r="Z787"/>
  <c r="Y787"/>
  <c r="X787"/>
  <c r="W787"/>
  <c r="CT784"/>
  <c r="Z784"/>
  <c r="Y784"/>
  <c r="X784"/>
  <c r="W784"/>
  <c r="CT785"/>
  <c r="Z785"/>
  <c r="Y785"/>
  <c r="X785"/>
  <c r="W785"/>
  <c r="CT780"/>
  <c r="Z780"/>
  <c r="Y780"/>
  <c r="X780"/>
  <c r="W780"/>
  <c r="I1114"/>
  <c r="K1114"/>
  <c r="K1149" s="1"/>
  <c r="CT400"/>
  <c r="Z400"/>
  <c r="Y400"/>
  <c r="X400"/>
  <c r="W400"/>
  <c r="CT412"/>
  <c r="W412"/>
  <c r="Z412"/>
  <c r="Y412"/>
  <c r="X412"/>
  <c r="CT409"/>
  <c r="W409" s="1"/>
  <c r="Z409"/>
  <c r="Y409"/>
  <c r="X409"/>
  <c r="CT659"/>
  <c r="W659"/>
  <c r="Z659"/>
  <c r="Y659"/>
  <c r="X659"/>
  <c r="CT658"/>
  <c r="W658" s="1"/>
  <c r="Z658"/>
  <c r="Y658"/>
  <c r="X658"/>
  <c r="CT652"/>
  <c r="W652"/>
  <c r="Z652"/>
  <c r="Y652"/>
  <c r="X652"/>
  <c r="CT660"/>
  <c r="W660" s="1"/>
  <c r="Z660"/>
  <c r="Y660"/>
  <c r="X660"/>
  <c r="CT1115"/>
  <c r="W1115"/>
  <c r="Z1115"/>
  <c r="Y1115"/>
  <c r="X1115"/>
  <c r="CT616"/>
  <c r="W616" s="1"/>
  <c r="Z616"/>
  <c r="Y616"/>
  <c r="X616"/>
  <c r="CT614"/>
  <c r="W614"/>
  <c r="Z614"/>
  <c r="Y614"/>
  <c r="X614"/>
  <c r="CT1540"/>
  <c r="W1540" s="1"/>
  <c r="Z1540"/>
  <c r="Y1540"/>
  <c r="X1540"/>
  <c r="CT781"/>
  <c r="W781"/>
  <c r="Z781"/>
  <c r="Y781"/>
  <c r="X781"/>
  <c r="CT893"/>
  <c r="W893" s="1"/>
  <c r="Z893"/>
  <c r="Y893"/>
  <c r="X893"/>
  <c r="CT895"/>
  <c r="W895"/>
  <c r="Z895"/>
  <c r="Y895"/>
  <c r="X895"/>
  <c r="CT1116"/>
  <c r="W1116" s="1"/>
  <c r="Z1116"/>
  <c r="Y1116"/>
  <c r="X1116"/>
  <c r="CT1537"/>
  <c r="W1537"/>
  <c r="Z1537"/>
  <c r="Y1537"/>
  <c r="X1537"/>
  <c r="Z960"/>
  <c r="Y960"/>
  <c r="X960"/>
  <c r="CT613"/>
  <c r="W613"/>
  <c r="CT100"/>
  <c r="W100"/>
  <c r="Z100"/>
  <c r="Y100"/>
  <c r="X100"/>
  <c r="CT101"/>
  <c r="W101" s="1"/>
  <c r="Z101"/>
  <c r="Y101"/>
  <c r="X101"/>
  <c r="CT1113"/>
  <c r="W1113"/>
  <c r="Z1113"/>
  <c r="Y1113"/>
  <c r="X1113"/>
  <c r="CT788"/>
  <c r="W788" s="1"/>
  <c r="Z788"/>
  <c r="Y788"/>
  <c r="X788"/>
  <c r="CT1535"/>
  <c r="W1535"/>
  <c r="Z1535"/>
  <c r="Y1535"/>
  <c r="X1535"/>
  <c r="CT1248"/>
  <c r="W1248" s="1"/>
  <c r="Z1248"/>
  <c r="Y1248"/>
  <c r="X1248"/>
  <c r="CT408"/>
  <c r="W408"/>
  <c r="Z408"/>
  <c r="Y408"/>
  <c r="X408"/>
  <c r="CT407"/>
  <c r="W407" s="1"/>
  <c r="Z407"/>
  <c r="Y407"/>
  <c r="X407"/>
  <c r="CT1111"/>
  <c r="W1111"/>
  <c r="Z1111"/>
  <c r="Y1111"/>
  <c r="X1111"/>
  <c r="CT1112"/>
  <c r="W1112" s="1"/>
  <c r="Z1112"/>
  <c r="Y1112"/>
  <c r="X1112"/>
  <c r="CT1366"/>
  <c r="W1366"/>
  <c r="Z1366"/>
  <c r="Y1366"/>
  <c r="X1366"/>
  <c r="CT1367"/>
  <c r="W1367" s="1"/>
  <c r="Z1367"/>
  <c r="Y1367"/>
  <c r="X1367"/>
  <c r="CT1363"/>
  <c r="W1363"/>
  <c r="Z1363"/>
  <c r="Y1363"/>
  <c r="X1363"/>
  <c r="CT1362"/>
  <c r="W1362" s="1"/>
  <c r="Z1362"/>
  <c r="Y1362"/>
  <c r="X1362"/>
  <c r="CT1364"/>
  <c r="W1364"/>
  <c r="Z1364"/>
  <c r="Y1364"/>
  <c r="X1364"/>
  <c r="CT1365"/>
  <c r="W1365" s="1"/>
  <c r="Z1365"/>
  <c r="Y1365"/>
  <c r="X1365"/>
  <c r="CT1006"/>
  <c r="W1006"/>
  <c r="Z1006"/>
  <c r="Y1006"/>
  <c r="X1006"/>
  <c r="CV39"/>
  <c r="H193"/>
  <c r="I193"/>
  <c r="J193"/>
  <c r="CT1114"/>
  <c r="Z1114"/>
  <c r="Y1114"/>
  <c r="X1114"/>
  <c r="W1114"/>
  <c r="CT612"/>
  <c r="W612"/>
  <c r="Z612"/>
  <c r="Y612"/>
  <c r="X612"/>
  <c r="CT610"/>
  <c r="W610" s="1"/>
  <c r="Z610"/>
  <c r="Y610"/>
  <c r="X610"/>
  <c r="CT890"/>
  <c r="W890"/>
  <c r="Z890"/>
  <c r="Y890"/>
  <c r="X890"/>
  <c r="CT889"/>
  <c r="W889" s="1"/>
  <c r="Z889"/>
  <c r="Y889"/>
  <c r="X889"/>
  <c r="CT1192"/>
  <c r="W1192"/>
  <c r="Z1192"/>
  <c r="Y1192"/>
  <c r="X1192"/>
  <c r="CT1247"/>
  <c r="W1247" s="1"/>
  <c r="Z1247"/>
  <c r="Y1247"/>
  <c r="X1247"/>
  <c r="CT1245"/>
  <c r="W1245"/>
  <c r="Z1245"/>
  <c r="Y1245"/>
  <c r="X1245"/>
  <c r="CT1459"/>
  <c r="W1459" s="1"/>
  <c r="Z1459"/>
  <c r="Y1459"/>
  <c r="X1459"/>
  <c r="CT1460"/>
  <c r="W1460"/>
  <c r="Z1460"/>
  <c r="Y1460"/>
  <c r="X1460"/>
  <c r="CT1463"/>
  <c r="W1463" s="1"/>
  <c r="Z1463"/>
  <c r="Y1463"/>
  <c r="X1463"/>
  <c r="CT1462"/>
  <c r="W1462"/>
  <c r="Z1462"/>
  <c r="Y1462"/>
  <c r="X1462"/>
  <c r="CT540"/>
  <c r="W540" s="1"/>
  <c r="Z540"/>
  <c r="Y540"/>
  <c r="X540"/>
  <c r="CT541"/>
  <c r="W541"/>
  <c r="Z541"/>
  <c r="Y541"/>
  <c r="X541"/>
  <c r="CT611"/>
  <c r="W611" s="1"/>
  <c r="Z611"/>
  <c r="Y611"/>
  <c r="X611"/>
  <c r="CT1461"/>
  <c r="W1461"/>
  <c r="Z1461"/>
  <c r="Y1461"/>
  <c r="X1461"/>
  <c r="CT99"/>
  <c r="W99" s="1"/>
  <c r="Z99"/>
  <c r="Y99"/>
  <c r="X99"/>
  <c r="CT98"/>
  <c r="W98"/>
  <c r="Z98"/>
  <c r="Y98"/>
  <c r="X98"/>
  <c r="CX1383"/>
  <c r="CW1383"/>
  <c r="BA1391"/>
  <c r="CO1391"/>
  <c r="CX1391"/>
  <c r="CW1391"/>
  <c r="DB1394"/>
  <c r="BY695"/>
  <c r="BY684"/>
  <c r="BY702"/>
  <c r="BY697"/>
  <c r="BY708"/>
  <c r="BX708"/>
  <c r="BY693"/>
  <c r="BY701"/>
  <c r="BY704"/>
  <c r="BX704"/>
  <c r="CA700"/>
  <c r="BY685"/>
  <c r="BX685"/>
  <c r="BY703"/>
  <c r="BX703"/>
  <c r="BY690"/>
  <c r="BX690"/>
  <c r="BY689"/>
  <c r="BY682"/>
  <c r="BX682"/>
  <c r="AA71"/>
  <c r="H596"/>
  <c r="CT887"/>
  <c r="W887"/>
  <c r="Z887"/>
  <c r="Y887"/>
  <c r="X887"/>
  <c r="CT609"/>
  <c r="W609" s="1"/>
  <c r="Z609"/>
  <c r="Y609"/>
  <c r="X609"/>
  <c r="CT782"/>
  <c r="W782"/>
  <c r="Z782"/>
  <c r="Y782"/>
  <c r="X782"/>
  <c r="CT538"/>
  <c r="W538" s="1"/>
  <c r="Z538"/>
  <c r="Y538"/>
  <c r="X538"/>
  <c r="CT536"/>
  <c r="W536"/>
  <c r="Z536"/>
  <c r="Y536"/>
  <c r="X536"/>
  <c r="CT961"/>
  <c r="W961" s="1"/>
  <c r="Z961"/>
  <c r="Y961"/>
  <c r="X961"/>
  <c r="CT194"/>
  <c r="W194"/>
  <c r="Z194"/>
  <c r="Y194"/>
  <c r="X194"/>
  <c r="CT779"/>
  <c r="W779" s="1"/>
  <c r="Z779"/>
  <c r="Y779"/>
  <c r="X779"/>
  <c r="CT775"/>
  <c r="W775"/>
  <c r="Z775"/>
  <c r="Y775"/>
  <c r="X775"/>
  <c r="CT776"/>
  <c r="W776" s="1"/>
  <c r="Z776"/>
  <c r="Y776"/>
  <c r="X776"/>
  <c r="CT537"/>
  <c r="W537"/>
  <c r="Z537"/>
  <c r="Y537"/>
  <c r="X537"/>
  <c r="CT456"/>
  <c r="W456" s="1"/>
  <c r="Z456"/>
  <c r="Y456"/>
  <c r="X456"/>
  <c r="CT1527"/>
  <c r="W1527"/>
  <c r="Z1527"/>
  <c r="Y1527"/>
  <c r="X1527"/>
  <c r="CT1191"/>
  <c r="W1191" s="1"/>
  <c r="Z1191"/>
  <c r="Y1191"/>
  <c r="X1191"/>
  <c r="CT657"/>
  <c r="W657"/>
  <c r="Z657"/>
  <c r="Y657"/>
  <c r="X657"/>
  <c r="CT650"/>
  <c r="W650" s="1"/>
  <c r="Z650"/>
  <c r="Y650"/>
  <c r="X650"/>
  <c r="CT654"/>
  <c r="W654"/>
  <c r="Z654"/>
  <c r="Y654"/>
  <c r="X654"/>
  <c r="CT653"/>
  <c r="W653" s="1"/>
  <c r="Z653"/>
  <c r="Y653"/>
  <c r="X653"/>
  <c r="CT651"/>
  <c r="W651"/>
  <c r="Z651"/>
  <c r="Y651"/>
  <c r="X651"/>
  <c r="CT97"/>
  <c r="W97" s="1"/>
  <c r="Z97"/>
  <c r="Y97"/>
  <c r="X97"/>
  <c r="H1402"/>
  <c r="CT1246"/>
  <c r="W1246" s="1"/>
  <c r="Z1246"/>
  <c r="Y1246"/>
  <c r="X1246"/>
  <c r="CT888"/>
  <c r="W888"/>
  <c r="Z888"/>
  <c r="Y888"/>
  <c r="X888"/>
  <c r="CT254"/>
  <c r="W254" s="1"/>
  <c r="Z254"/>
  <c r="Y254"/>
  <c r="X254"/>
  <c r="CT95"/>
  <c r="W95"/>
  <c r="Z95"/>
  <c r="Y95"/>
  <c r="X95"/>
  <c r="CT92"/>
  <c r="W92" s="1"/>
  <c r="Z92"/>
  <c r="Y92"/>
  <c r="X92"/>
  <c r="CT94"/>
  <c r="W94"/>
  <c r="Z94"/>
  <c r="Y94"/>
  <c r="X94"/>
  <c r="CT1402"/>
  <c r="W1402" s="1"/>
  <c r="Z1402"/>
  <c r="Y1402"/>
  <c r="X1402"/>
  <c r="CT90"/>
  <c r="W90"/>
  <c r="Z90"/>
  <c r="Y90"/>
  <c r="X90"/>
  <c r="CT89"/>
  <c r="W89" s="1"/>
  <c r="Z89"/>
  <c r="Y89"/>
  <c r="X89"/>
  <c r="CT96"/>
  <c r="W96"/>
  <c r="Z96"/>
  <c r="Y96"/>
  <c r="X96"/>
  <c r="CT93"/>
  <c r="W93" s="1"/>
  <c r="Z93"/>
  <c r="Y93"/>
  <c r="X93"/>
  <c r="CT91"/>
  <c r="W91"/>
  <c r="Z91"/>
  <c r="Y91"/>
  <c r="X91"/>
  <c r="CT535"/>
  <c r="W535" s="1"/>
  <c r="Z535"/>
  <c r="Y535"/>
  <c r="X535"/>
  <c r="CT534"/>
  <c r="W534"/>
  <c r="Z534"/>
  <c r="Y534"/>
  <c r="X534"/>
  <c r="CT337"/>
  <c r="W337" s="1"/>
  <c r="Z337"/>
  <c r="Y337"/>
  <c r="X337"/>
  <c r="CT1031"/>
  <c r="W1031"/>
  <c r="Z1031"/>
  <c r="Y1031"/>
  <c r="X1031"/>
  <c r="CT1190"/>
  <c r="W1190" s="1"/>
  <c r="Z1190"/>
  <c r="Y1190"/>
  <c r="X1190"/>
  <c r="CT886"/>
  <c r="W886"/>
  <c r="Z886"/>
  <c r="Y886"/>
  <c r="X886"/>
  <c r="CT1529"/>
  <c r="W1529" s="1"/>
  <c r="Z1529"/>
  <c r="Y1529"/>
  <c r="X1529"/>
  <c r="CT1526"/>
  <c r="W1526"/>
  <c r="Z1526"/>
  <c r="Y1526"/>
  <c r="X1526"/>
  <c r="CT1528"/>
  <c r="W1528" s="1"/>
  <c r="Z1528"/>
  <c r="Y1528"/>
  <c r="X1528"/>
  <c r="CT1530"/>
  <c r="W1530"/>
  <c r="Z1530"/>
  <c r="Y1530"/>
  <c r="X1530"/>
  <c r="CT454"/>
  <c r="W454" s="1"/>
  <c r="Z454"/>
  <c r="Y454"/>
  <c r="X454"/>
  <c r="CT778"/>
  <c r="W778"/>
  <c r="Z778"/>
  <c r="Y778"/>
  <c r="X778"/>
  <c r="CT1004"/>
  <c r="W1004" s="1"/>
  <c r="Z1004"/>
  <c r="Y1004"/>
  <c r="X1004"/>
  <c r="CT646"/>
  <c r="W646"/>
  <c r="Z646"/>
  <c r="Y646"/>
  <c r="X646"/>
  <c r="H298"/>
  <c r="H570"/>
  <c r="H579"/>
  <c r="H574"/>
  <c r="CT336"/>
  <c r="Z336"/>
  <c r="Y336"/>
  <c r="X336"/>
  <c r="W336"/>
  <c r="CT607"/>
  <c r="W607"/>
  <c r="Z607"/>
  <c r="Y607"/>
  <c r="X607"/>
  <c r="Z608"/>
  <c r="Y608"/>
  <c r="X608"/>
  <c r="CT1188"/>
  <c r="W1188"/>
  <c r="Z1188"/>
  <c r="Y1188"/>
  <c r="X1188"/>
  <c r="CT1189"/>
  <c r="W1189" s="1"/>
  <c r="Z1189"/>
  <c r="Y1189"/>
  <c r="X1189"/>
  <c r="CT86"/>
  <c r="W86"/>
  <c r="Z86"/>
  <c r="Y86"/>
  <c r="X86"/>
  <c r="CT87"/>
  <c r="W87" s="1"/>
  <c r="Z87"/>
  <c r="Y87"/>
  <c r="X87"/>
  <c r="Z649"/>
  <c r="Y649"/>
  <c r="CT533"/>
  <c r="W533"/>
  <c r="Z533"/>
  <c r="Y533"/>
  <c r="X533"/>
  <c r="CT406"/>
  <c r="W406" s="1"/>
  <c r="Z406"/>
  <c r="Y406"/>
  <c r="X406"/>
  <c r="CT401"/>
  <c r="W401"/>
  <c r="Z401"/>
  <c r="Y401"/>
  <c r="X401"/>
  <c r="CT399"/>
  <c r="W399" s="1"/>
  <c r="Z399"/>
  <c r="Y399"/>
  <c r="X399"/>
  <c r="CT398"/>
  <c r="W398"/>
  <c r="Z398"/>
  <c r="Y398"/>
  <c r="X398"/>
  <c r="CT575"/>
  <c r="W575" s="1"/>
  <c r="Z575"/>
  <c r="Y575"/>
  <c r="X575"/>
  <c r="CT568"/>
  <c r="W568"/>
  <c r="Z568"/>
  <c r="Y568"/>
  <c r="X568"/>
  <c r="CT576"/>
  <c r="W576" s="1"/>
  <c r="Z576"/>
  <c r="Y576"/>
  <c r="X576"/>
  <c r="CT570"/>
  <c r="W570"/>
  <c r="Z570"/>
  <c r="Y570"/>
  <c r="X570"/>
  <c r="CT602"/>
  <c r="W602" s="1"/>
  <c r="Z602"/>
  <c r="Y602"/>
  <c r="X602"/>
  <c r="CT847"/>
  <c r="W847"/>
  <c r="Z847"/>
  <c r="Y847"/>
  <c r="X847"/>
  <c r="CT852"/>
  <c r="W852" s="1"/>
  <c r="Z852"/>
  <c r="Y852"/>
  <c r="X852"/>
  <c r="CT525"/>
  <c r="W525"/>
  <c r="Z525"/>
  <c r="Y525"/>
  <c r="X525"/>
  <c r="CT777"/>
  <c r="W777" s="1"/>
  <c r="Z777"/>
  <c r="Y777"/>
  <c r="X777"/>
  <c r="CT448"/>
  <c r="W448"/>
  <c r="Z448"/>
  <c r="Y448"/>
  <c r="X448"/>
  <c r="CT450"/>
  <c r="W450" s="1"/>
  <c r="Z450"/>
  <c r="Y450"/>
  <c r="X450"/>
  <c r="CT453"/>
  <c r="W453"/>
  <c r="Z453"/>
  <c r="Y453"/>
  <c r="X453"/>
  <c r="CT452"/>
  <c r="W452" s="1"/>
  <c r="Z452"/>
  <c r="Y452"/>
  <c r="X452"/>
  <c r="CT1154"/>
  <c r="W1154"/>
  <c r="X1154"/>
  <c r="Y1154"/>
  <c r="Z1154"/>
  <c r="CT102"/>
  <c r="W102" s="1"/>
  <c r="X102"/>
  <c r="Y102"/>
  <c r="Z102"/>
  <c r="CT656"/>
  <c r="W656"/>
  <c r="X656"/>
  <c r="Y656"/>
  <c r="Z656"/>
  <c r="CT855"/>
  <c r="W855" s="1"/>
  <c r="X855"/>
  <c r="Y855"/>
  <c r="Z855"/>
  <c r="CT856"/>
  <c r="W856"/>
  <c r="X856"/>
  <c r="Y856"/>
  <c r="Z856"/>
  <c r="CT1187"/>
  <c r="W1187" s="1"/>
  <c r="X1187"/>
  <c r="Y1187"/>
  <c r="Z1187"/>
  <c r="CT1524"/>
  <c r="W1524"/>
  <c r="X1524"/>
  <c r="Y1524"/>
  <c r="Z1524"/>
  <c r="CT85"/>
  <c r="W85" s="1"/>
  <c r="X85"/>
  <c r="Y85"/>
  <c r="Z85"/>
  <c r="CT83"/>
  <c r="W83"/>
  <c r="X83"/>
  <c r="Y83"/>
  <c r="Z83"/>
  <c r="CT84"/>
  <c r="W84" s="1"/>
  <c r="X84"/>
  <c r="Y84"/>
  <c r="Z84"/>
  <c r="CT82"/>
  <c r="W82"/>
  <c r="X82"/>
  <c r="Y82"/>
  <c r="Z82"/>
  <c r="CT1185"/>
  <c r="W1185" s="1"/>
  <c r="X1185"/>
  <c r="Y1185"/>
  <c r="Z1185"/>
  <c r="CT1186"/>
  <c r="W1186"/>
  <c r="X1186"/>
  <c r="Y1186"/>
  <c r="Z1186"/>
  <c r="CT451"/>
  <c r="W451" s="1"/>
  <c r="X451"/>
  <c r="Y451"/>
  <c r="Z451"/>
  <c r="CT1181"/>
  <c r="W1181"/>
  <c r="X1181"/>
  <c r="Y1181"/>
  <c r="Z1181"/>
  <c r="CT1183"/>
  <c r="W1183" s="1"/>
  <c r="X1183"/>
  <c r="Y1183"/>
  <c r="Z1183"/>
  <c r="CT1182"/>
  <c r="W1182"/>
  <c r="X1182"/>
  <c r="Y1182"/>
  <c r="Z1182"/>
  <c r="CT1184"/>
  <c r="W1184" s="1"/>
  <c r="X1184"/>
  <c r="Y1184"/>
  <c r="Z1184"/>
  <c r="CT253"/>
  <c r="W253"/>
  <c r="X253"/>
  <c r="Y253"/>
  <c r="Z253"/>
  <c r="CX601"/>
  <c r="X601" s="1"/>
  <c r="CQ380"/>
  <c r="CO380"/>
  <c r="CX380"/>
  <c r="CM302"/>
  <c r="CL302"/>
  <c r="CO302"/>
  <c r="CX302"/>
  <c r="CW302"/>
  <c r="CI1348"/>
  <c r="CX1396"/>
  <c r="CX1398"/>
  <c r="CX1395"/>
  <c r="CW1395"/>
  <c r="CX1389"/>
  <c r="CW1389"/>
  <c r="CX1390"/>
  <c r="X1390"/>
  <c r="CW1390"/>
  <c r="CX1388"/>
  <c r="CW1388"/>
  <c r="CX1382"/>
  <c r="CW1382"/>
  <c r="CX1387"/>
  <c r="CW1387"/>
  <c r="CX1386"/>
  <c r="CW1386"/>
  <c r="CX1384"/>
  <c r="CW1384"/>
  <c r="H520"/>
  <c r="CT1170"/>
  <c r="W1170" s="1"/>
  <c r="Z1170"/>
  <c r="Y1170"/>
  <c r="X1170"/>
  <c r="CT1180"/>
  <c r="W1180"/>
  <c r="Z1180"/>
  <c r="Y1180"/>
  <c r="X1180"/>
  <c r="CT1458"/>
  <c r="W1458" s="1"/>
  <c r="Z1458"/>
  <c r="Y1458"/>
  <c r="X1458"/>
  <c r="CT606"/>
  <c r="W606"/>
  <c r="Z606"/>
  <c r="Y606"/>
  <c r="X606"/>
  <c r="CT773"/>
  <c r="W773" s="1"/>
  <c r="Z773"/>
  <c r="Y773"/>
  <c r="X773"/>
  <c r="H518"/>
  <c r="AD955"/>
  <c r="AA955"/>
  <c r="AA970"/>
  <c r="CT518"/>
  <c r="W518"/>
  <c r="Z518"/>
  <c r="X518"/>
  <c r="CT958"/>
  <c r="W958"/>
  <c r="Z958"/>
  <c r="Y958"/>
  <c r="X958"/>
  <c r="CT959"/>
  <c r="W959" s="1"/>
  <c r="Z959"/>
  <c r="Y959"/>
  <c r="X959"/>
  <c r="CT1179"/>
  <c r="W1179"/>
  <c r="Z1179"/>
  <c r="Y1179"/>
  <c r="X1179"/>
  <c r="CT1157"/>
  <c r="W1157" s="1"/>
  <c r="Z1157"/>
  <c r="Y1157"/>
  <c r="X1157"/>
  <c r="CV598"/>
  <c r="Z598"/>
  <c r="AA691"/>
  <c r="AA718"/>
  <c r="CX688"/>
  <c r="AD692"/>
  <c r="AD718" s="1"/>
  <c r="CX692"/>
  <c r="CW692"/>
  <c r="CX710"/>
  <c r="X710" s="1"/>
  <c r="CX699"/>
  <c r="CW699"/>
  <c r="CX695"/>
  <c r="CW695"/>
  <c r="CX684"/>
  <c r="CW684"/>
  <c r="CX702"/>
  <c r="CW702"/>
  <c r="CX694"/>
  <c r="CX697"/>
  <c r="CX693"/>
  <c r="CW693"/>
  <c r="CX701"/>
  <c r="CW701"/>
  <c r="CX704"/>
  <c r="CW704"/>
  <c r="CX700"/>
  <c r="CW700"/>
  <c r="CX685"/>
  <c r="CW685"/>
  <c r="CX703"/>
  <c r="CW703"/>
  <c r="CX690"/>
  <c r="CW690"/>
  <c r="CX689"/>
  <c r="CW689"/>
  <c r="CX686"/>
  <c r="CW686"/>
  <c r="CX705"/>
  <c r="CW705"/>
  <c r="CT338"/>
  <c r="W338" s="1"/>
  <c r="X338"/>
  <c r="Y338"/>
  <c r="Z338"/>
  <c r="CT774"/>
  <c r="W774"/>
  <c r="Z774"/>
  <c r="Y774"/>
  <c r="X774"/>
  <c r="CT520"/>
  <c r="W520" s="1"/>
  <c r="Z520"/>
  <c r="X520"/>
  <c r="CT1156"/>
  <c r="W1156" s="1"/>
  <c r="Z1156"/>
  <c r="Y1156"/>
  <c r="X1156"/>
  <c r="Z851"/>
  <c r="Y851"/>
  <c r="X851"/>
  <c r="CT853"/>
  <c r="W853" s="1"/>
  <c r="Z853"/>
  <c r="Y853"/>
  <c r="X853"/>
  <c r="CT1401"/>
  <c r="W1401"/>
  <c r="Y1401"/>
  <c r="X1401"/>
  <c r="Z1348"/>
  <c r="Y1348"/>
  <c r="X1348"/>
  <c r="CT957"/>
  <c r="W957" s="1"/>
  <c r="Z957"/>
  <c r="Y957"/>
  <c r="X957"/>
  <c r="CT711"/>
  <c r="W711"/>
  <c r="Z711"/>
  <c r="X711"/>
  <c r="CT598"/>
  <c r="W598"/>
  <c r="Y598"/>
  <c r="X598"/>
  <c r="CT328"/>
  <c r="W328"/>
  <c r="Z328"/>
  <c r="Y328"/>
  <c r="X328"/>
  <c r="CT532"/>
  <c r="W532" s="1"/>
  <c r="Z532"/>
  <c r="Y532"/>
  <c r="X532"/>
  <c r="CT335"/>
  <c r="W335"/>
  <c r="Z335"/>
  <c r="Y335"/>
  <c r="X335"/>
  <c r="AY692"/>
  <c r="CX636"/>
  <c r="BY164"/>
  <c r="AY164"/>
  <c r="CV1392"/>
  <c r="CU1392"/>
  <c r="CV136"/>
  <c r="H687"/>
  <c r="AY1517"/>
  <c r="AU1517"/>
  <c r="CT1517" s="1"/>
  <c r="W1517" s="1"/>
  <c r="AC1517" s="1"/>
  <c r="CX1517"/>
  <c r="CX1393"/>
  <c r="H326"/>
  <c r="H290"/>
  <c r="H296"/>
  <c r="BY698"/>
  <c r="BX698"/>
  <c r="BY705"/>
  <c r="BX705"/>
  <c r="BY692"/>
  <c r="T531"/>
  <c r="T561"/>
  <c r="CT331"/>
  <c r="Z331"/>
  <c r="Y331"/>
  <c r="X331"/>
  <c r="W331"/>
  <c r="CT332"/>
  <c r="W332" s="1"/>
  <c r="Z332"/>
  <c r="Y332"/>
  <c r="X332"/>
  <c r="CT1523"/>
  <c r="W1523"/>
  <c r="Z1523"/>
  <c r="Y1523"/>
  <c r="X1523"/>
  <c r="CT604"/>
  <c r="W604" s="1"/>
  <c r="Z604"/>
  <c r="Y604"/>
  <c r="X604"/>
  <c r="CT197"/>
  <c r="W197"/>
  <c r="Z197"/>
  <c r="Y197"/>
  <c r="X197"/>
  <c r="CT81"/>
  <c r="W81" s="1"/>
  <c r="Z81"/>
  <c r="Y81"/>
  <c r="X81"/>
  <c r="CM299"/>
  <c r="CL299"/>
  <c r="CX299"/>
  <c r="CW299"/>
  <c r="CO926"/>
  <c r="CM926"/>
  <c r="CL926"/>
  <c r="CX926"/>
  <c r="CW926"/>
  <c r="H1515"/>
  <c r="H1509"/>
  <c r="CO705"/>
  <c r="CX930"/>
  <c r="CW930"/>
  <c r="CT885"/>
  <c r="W885"/>
  <c r="Z885"/>
  <c r="Y885"/>
  <c r="X885"/>
  <c r="Z531"/>
  <c r="X531"/>
  <c r="CT605"/>
  <c r="W605" s="1"/>
  <c r="Z605"/>
  <c r="Y605"/>
  <c r="X605"/>
  <c r="CT603"/>
  <c r="W603"/>
  <c r="Z603"/>
  <c r="Y603"/>
  <c r="X603"/>
  <c r="CT1521"/>
  <c r="W1521" s="1"/>
  <c r="Z1521"/>
  <c r="Y1521"/>
  <c r="X1521"/>
  <c r="CT1522"/>
  <c r="W1522"/>
  <c r="Z1522"/>
  <c r="Y1522"/>
  <c r="X1522"/>
  <c r="CT334"/>
  <c r="W334" s="1"/>
  <c r="Z334"/>
  <c r="Y334"/>
  <c r="X334"/>
  <c r="Z330"/>
  <c r="Y330"/>
  <c r="X330"/>
  <c r="CT329"/>
  <c r="W329" s="1"/>
  <c r="Z329"/>
  <c r="Y329"/>
  <c r="X329"/>
  <c r="CT333"/>
  <c r="W333"/>
  <c r="Z333"/>
  <c r="Y333"/>
  <c r="X333"/>
  <c r="Z849"/>
  <c r="Y849"/>
  <c r="X849"/>
  <c r="CT530"/>
  <c r="W530"/>
  <c r="Z530"/>
  <c r="Y530"/>
  <c r="X530"/>
  <c r="CT1515"/>
  <c r="W1515" s="1"/>
  <c r="Z1515"/>
  <c r="Y1515"/>
  <c r="X1515"/>
  <c r="CT594"/>
  <c r="W594"/>
  <c r="Z594"/>
  <c r="Y594"/>
  <c r="X594"/>
  <c r="CT529"/>
  <c r="W529" s="1"/>
  <c r="Z529"/>
  <c r="Y529"/>
  <c r="X529"/>
  <c r="CT80"/>
  <c r="W80"/>
  <c r="Z80"/>
  <c r="Y80"/>
  <c r="X80"/>
  <c r="CT1520"/>
  <c r="W1520" s="1"/>
  <c r="Z1520"/>
  <c r="Y1520"/>
  <c r="X1520"/>
  <c r="CT190"/>
  <c r="W190"/>
  <c r="Z190"/>
  <c r="Y190"/>
  <c r="X190"/>
  <c r="CT191"/>
  <c r="W191" s="1"/>
  <c r="Z191"/>
  <c r="Y191"/>
  <c r="X191"/>
  <c r="CT882"/>
  <c r="W882"/>
  <c r="Z882"/>
  <c r="Y882"/>
  <c r="X882"/>
  <c r="CT1003"/>
  <c r="W1003" s="1"/>
  <c r="Z1003"/>
  <c r="Y1003"/>
  <c r="X1003"/>
  <c r="CT854"/>
  <c r="W854"/>
  <c r="Z854"/>
  <c r="Y854"/>
  <c r="X854"/>
  <c r="H956"/>
  <c r="DB522"/>
  <c r="CQ522"/>
  <c r="CO522"/>
  <c r="CX522"/>
  <c r="CX523"/>
  <c r="AU523"/>
  <c r="AY523"/>
  <c r="BY924"/>
  <c r="BY918"/>
  <c r="BY933"/>
  <c r="BY934"/>
  <c r="BY939"/>
  <c r="BY926"/>
  <c r="BY925"/>
  <c r="BY938"/>
  <c r="BY920"/>
  <c r="BY940"/>
  <c r="BY936"/>
  <c r="BY921"/>
  <c r="BY954"/>
  <c r="CT954" s="1"/>
  <c r="W954" s="1"/>
  <c r="AC954" s="1"/>
  <c r="BY919"/>
  <c r="BY923"/>
  <c r="BY927"/>
  <c r="BY929"/>
  <c r="BY928"/>
  <c r="BY932"/>
  <c r="BX932"/>
  <c r="BY922"/>
  <c r="CV955"/>
  <c r="CM924"/>
  <c r="CM918"/>
  <c r="CM951"/>
  <c r="CT951"/>
  <c r="W951" s="1"/>
  <c r="AC951" s="1"/>
  <c r="CM933"/>
  <c r="CM931"/>
  <c r="CM934"/>
  <c r="CM939"/>
  <c r="CM949"/>
  <c r="CM925"/>
  <c r="CM935"/>
  <c r="CM938"/>
  <c r="CM920"/>
  <c r="CM940"/>
  <c r="CM930"/>
  <c r="CM936"/>
  <c r="CM921"/>
  <c r="CM954"/>
  <c r="CM919"/>
  <c r="CM923"/>
  <c r="CM927"/>
  <c r="CM929"/>
  <c r="CM928"/>
  <c r="CL928"/>
  <c r="CM932"/>
  <c r="CL932"/>
  <c r="CM950"/>
  <c r="CM922"/>
  <c r="CO846"/>
  <c r="CM842"/>
  <c r="CM846"/>
  <c r="CO842"/>
  <c r="BK932"/>
  <c r="CO932"/>
  <c r="CX932"/>
  <c r="CW932"/>
  <c r="CX918"/>
  <c r="CX933"/>
  <c r="CX934"/>
  <c r="CW934"/>
  <c r="CX939"/>
  <c r="CW939"/>
  <c r="CX949"/>
  <c r="CX935"/>
  <c r="CX938"/>
  <c r="CX920"/>
  <c r="CX940"/>
  <c r="CX936"/>
  <c r="CX921"/>
  <c r="CX954"/>
  <c r="CX919"/>
  <c r="CX923"/>
  <c r="CX927"/>
  <c r="CX929"/>
  <c r="CX928"/>
  <c r="CW928"/>
  <c r="CX950"/>
  <c r="CX842"/>
  <c r="CX846"/>
  <c r="CT193"/>
  <c r="W193" s="1"/>
  <c r="Z193"/>
  <c r="Y193"/>
  <c r="X193"/>
  <c r="CT195"/>
  <c r="W195"/>
  <c r="Z195"/>
  <c r="Y195"/>
  <c r="X195"/>
  <c r="CT196"/>
  <c r="W196" s="1"/>
  <c r="Z196"/>
  <c r="Y196"/>
  <c r="X196"/>
  <c r="CT504"/>
  <c r="W504"/>
  <c r="Z504"/>
  <c r="Y504"/>
  <c r="X504"/>
  <c r="CT1349"/>
  <c r="W1349" s="1"/>
  <c r="Z1349"/>
  <c r="Y1349"/>
  <c r="X1349"/>
  <c r="CT192"/>
  <c r="W192"/>
  <c r="Z192"/>
  <c r="Y192"/>
  <c r="CT648"/>
  <c r="W648"/>
  <c r="Z648"/>
  <c r="Y648"/>
  <c r="X648"/>
  <c r="CT956"/>
  <c r="W956" s="1"/>
  <c r="Z956"/>
  <c r="Y956"/>
  <c r="X956"/>
  <c r="CT1519"/>
  <c r="W1519"/>
  <c r="Z1519"/>
  <c r="Y1519"/>
  <c r="X1519"/>
  <c r="CT1345"/>
  <c r="W1345" s="1"/>
  <c r="Z1345"/>
  <c r="Y1345"/>
  <c r="X1345"/>
  <c r="CT1344"/>
  <c r="W1344"/>
  <c r="Z1344"/>
  <c r="Y1344"/>
  <c r="X1344"/>
  <c r="CT1341"/>
  <c r="W1341" s="1"/>
  <c r="Z1341"/>
  <c r="Y1341"/>
  <c r="X1341"/>
  <c r="H1340"/>
  <c r="H1331"/>
  <c r="H688"/>
  <c r="H692"/>
  <c r="H710"/>
  <c r="H699"/>
  <c r="H698"/>
  <c r="H701"/>
  <c r="H700"/>
  <c r="H690"/>
  <c r="H689"/>
  <c r="H1313"/>
  <c r="CT1340"/>
  <c r="W1340"/>
  <c r="Z1340"/>
  <c r="Y1340"/>
  <c r="X1340"/>
  <c r="CT1339"/>
  <c r="W1339" s="1"/>
  <c r="Z1339"/>
  <c r="Y1339"/>
  <c r="X1339"/>
  <c r="CT1338"/>
  <c r="W1338"/>
  <c r="Z1338"/>
  <c r="Y1338"/>
  <c r="X1338"/>
  <c r="CT1337"/>
  <c r="W1337" s="1"/>
  <c r="Z1337"/>
  <c r="Y1337"/>
  <c r="X1337"/>
  <c r="CT1336"/>
  <c r="W1336"/>
  <c r="Z1336"/>
  <c r="Y1336"/>
  <c r="X1336"/>
  <c r="CT1335"/>
  <c r="W1335" s="1"/>
  <c r="Z1335"/>
  <c r="Y1335"/>
  <c r="X1335"/>
  <c r="CT1334"/>
  <c r="W1334"/>
  <c r="Z1334"/>
  <c r="Y1334"/>
  <c r="X1334"/>
  <c r="CT1331"/>
  <c r="W1331" s="1"/>
  <c r="Z1331"/>
  <c r="Y1331"/>
  <c r="X1331"/>
  <c r="CT1333"/>
  <c r="W1333"/>
  <c r="Z1333"/>
  <c r="Y1333"/>
  <c r="X1333"/>
  <c r="CT449"/>
  <c r="W449" s="1"/>
  <c r="Z449"/>
  <c r="Y449"/>
  <c r="X449"/>
  <c r="CT1178"/>
  <c r="W1178"/>
  <c r="Z1178"/>
  <c r="Y1178"/>
  <c r="X1178"/>
  <c r="CT405"/>
  <c r="W405" s="1"/>
  <c r="Z405"/>
  <c r="Y405"/>
  <c r="X405"/>
  <c r="CT404"/>
  <c r="W404"/>
  <c r="Z404"/>
  <c r="Y404"/>
  <c r="X404"/>
  <c r="CT327"/>
  <c r="W327" s="1"/>
  <c r="Z327"/>
  <c r="Y327"/>
  <c r="X327"/>
  <c r="CT79"/>
  <c r="W79"/>
  <c r="Z79"/>
  <c r="Y79"/>
  <c r="X79"/>
  <c r="CT710"/>
  <c r="W710" s="1"/>
  <c r="Z710"/>
  <c r="Y710"/>
  <c r="CT1332"/>
  <c r="W1332" s="1"/>
  <c r="Z1332"/>
  <c r="Y1332"/>
  <c r="X1332"/>
  <c r="CT1330"/>
  <c r="W1330"/>
  <c r="Z1330"/>
  <c r="Y1330"/>
  <c r="X1330"/>
  <c r="CT1329"/>
  <c r="W1329" s="1"/>
  <c r="Z1329"/>
  <c r="Y1329"/>
  <c r="X1329"/>
  <c r="CT1328"/>
  <c r="W1328"/>
  <c r="Z1328"/>
  <c r="Y1328"/>
  <c r="X1328"/>
  <c r="H62"/>
  <c r="H601"/>
  <c r="CO307"/>
  <c r="CM294"/>
  <c r="CL294"/>
  <c r="CT1343"/>
  <c r="W1343"/>
  <c r="Z1343"/>
  <c r="Y1343"/>
  <c r="X1343"/>
  <c r="CT1342"/>
  <c r="W1342" s="1"/>
  <c r="Z1342"/>
  <c r="Y1342"/>
  <c r="X1342"/>
  <c r="CT1327"/>
  <c r="W1327"/>
  <c r="Z1327"/>
  <c r="Y1327"/>
  <c r="X1327"/>
  <c r="CT1326"/>
  <c r="W1326" s="1"/>
  <c r="Z1326"/>
  <c r="Y1326"/>
  <c r="X1326"/>
  <c r="CT1325"/>
  <c r="W1325"/>
  <c r="Z1325"/>
  <c r="Y1325"/>
  <c r="X1325"/>
  <c r="CT1174"/>
  <c r="W1174" s="1"/>
  <c r="Z1174"/>
  <c r="Y1174"/>
  <c r="X1174"/>
  <c r="CT1175"/>
  <c r="W1175"/>
  <c r="Z1175"/>
  <c r="Y1175"/>
  <c r="X1175"/>
  <c r="CT1171"/>
  <c r="W1171" s="1"/>
  <c r="Z1171"/>
  <c r="Y1171"/>
  <c r="X1171"/>
  <c r="CT1002"/>
  <c r="W1002"/>
  <c r="Z1002"/>
  <c r="Y1002"/>
  <c r="X1002"/>
  <c r="H1244"/>
  <c r="CT1155"/>
  <c r="W1155"/>
  <c r="Z1155"/>
  <c r="Y1155"/>
  <c r="X1155"/>
  <c r="CT1244"/>
  <c r="W1244" s="1"/>
  <c r="Z1244"/>
  <c r="Y1244"/>
  <c r="X1244"/>
  <c r="CT1346"/>
  <c r="W1346"/>
  <c r="Z1346"/>
  <c r="Y1346"/>
  <c r="X1346"/>
  <c r="CT1347"/>
  <c r="W1347" s="1"/>
  <c r="Z1347"/>
  <c r="Y1347"/>
  <c r="X1347"/>
  <c r="CT1177"/>
  <c r="W1177"/>
  <c r="Z1177"/>
  <c r="Y1177"/>
  <c r="X1177"/>
  <c r="CT78"/>
  <c r="W78" s="1"/>
  <c r="Z78"/>
  <c r="Y78"/>
  <c r="X78"/>
  <c r="CT77"/>
  <c r="W77"/>
  <c r="Z77"/>
  <c r="Y77"/>
  <c r="X77"/>
  <c r="CM293"/>
  <c r="CX293"/>
  <c r="CW293"/>
  <c r="CM300"/>
  <c r="CM287"/>
  <c r="CX287"/>
  <c r="CW287"/>
  <c r="CT772"/>
  <c r="W772"/>
  <c r="Z772"/>
  <c r="Y772"/>
  <c r="X772"/>
  <c r="CT1176"/>
  <c r="W1176" s="1"/>
  <c r="Z1176"/>
  <c r="Y1176"/>
  <c r="X1176"/>
  <c r="CT325"/>
  <c r="W325"/>
  <c r="Z325"/>
  <c r="Y325"/>
  <c r="X325"/>
  <c r="CT326"/>
  <c r="W326" s="1"/>
  <c r="Z326"/>
  <c r="Y326"/>
  <c r="X326"/>
  <c r="CT524"/>
  <c r="W524"/>
  <c r="Z524"/>
  <c r="Y524"/>
  <c r="X524"/>
  <c r="CT1455"/>
  <c r="W1455" s="1"/>
  <c r="Z1455"/>
  <c r="Y1455"/>
  <c r="X1455"/>
  <c r="CT1457"/>
  <c r="W1457"/>
  <c r="Z1457"/>
  <c r="Y1457"/>
  <c r="X1457"/>
  <c r="CT1456"/>
  <c r="W1456" s="1"/>
  <c r="Z1456"/>
  <c r="Y1456"/>
  <c r="X1456"/>
  <c r="CT76"/>
  <c r="W76"/>
  <c r="Z76"/>
  <c r="Y76"/>
  <c r="X76"/>
  <c r="CT1106"/>
  <c r="W1106" s="1"/>
  <c r="Z1106"/>
  <c r="Y1106"/>
  <c r="X1106"/>
  <c r="CT1243"/>
  <c r="W1243"/>
  <c r="Z1243"/>
  <c r="Y1243"/>
  <c r="X1243"/>
  <c r="H1510"/>
  <c r="I1510"/>
  <c r="I1581"/>
  <c r="BA135"/>
  <c r="CQ135"/>
  <c r="CO135"/>
  <c r="CX135"/>
  <c r="DB515"/>
  <c r="AA521"/>
  <c r="AA561" s="1"/>
  <c r="DB517"/>
  <c r="DA517"/>
  <c r="CT1242"/>
  <c r="W1242" s="1"/>
  <c r="Z1242"/>
  <c r="Y1242"/>
  <c r="X1242"/>
  <c r="CT1320"/>
  <c r="W1320"/>
  <c r="Z1320"/>
  <c r="Y1320"/>
  <c r="X1320"/>
  <c r="CT1510"/>
  <c r="W1510" s="1"/>
  <c r="Z1510"/>
  <c r="Y1510"/>
  <c r="X1510"/>
  <c r="CT1516"/>
  <c r="W1516"/>
  <c r="Z1516"/>
  <c r="Y1516"/>
  <c r="X1516"/>
  <c r="CT187"/>
  <c r="W187" s="1"/>
  <c r="Z187"/>
  <c r="Y187"/>
  <c r="X187"/>
  <c r="CT1105"/>
  <c r="W1105"/>
  <c r="Z1105"/>
  <c r="Y1105"/>
  <c r="X1105"/>
  <c r="CT188"/>
  <c r="W188" s="1"/>
  <c r="Z188"/>
  <c r="Y188"/>
  <c r="CT601"/>
  <c r="W601" s="1"/>
  <c r="Z601"/>
  <c r="Y601"/>
  <c r="CT1103"/>
  <c r="W1103" s="1"/>
  <c r="Z1103"/>
  <c r="Y1103"/>
  <c r="X1103"/>
  <c r="CT1104"/>
  <c r="W1104"/>
  <c r="Z1104"/>
  <c r="Y1104"/>
  <c r="X1104"/>
  <c r="CT1454"/>
  <c r="W1454" s="1"/>
  <c r="Z1454"/>
  <c r="Y1454"/>
  <c r="X1454"/>
  <c r="CT75"/>
  <c r="W75"/>
  <c r="Z75"/>
  <c r="Y75"/>
  <c r="X75"/>
  <c r="CT769"/>
  <c r="W769" s="1"/>
  <c r="Z769"/>
  <c r="Y769"/>
  <c r="X769"/>
  <c r="X402"/>
  <c r="Y402"/>
  <c r="Z402"/>
  <c r="CT402"/>
  <c r="W402" s="1"/>
  <c r="X251"/>
  <c r="Y251"/>
  <c r="Z251"/>
  <c r="CT771"/>
  <c r="Z771"/>
  <c r="Y771"/>
  <c r="X771"/>
  <c r="W771"/>
  <c r="CT1102"/>
  <c r="W1102" s="1"/>
  <c r="Z1102"/>
  <c r="Y1102"/>
  <c r="X1102"/>
  <c r="CT74"/>
  <c r="W74"/>
  <c r="Z74"/>
  <c r="Y74"/>
  <c r="X74"/>
  <c r="CT647"/>
  <c r="W647" s="1"/>
  <c r="Z647"/>
  <c r="Y647"/>
  <c r="X647"/>
  <c r="CT955"/>
  <c r="W955"/>
  <c r="Z955"/>
  <c r="Y955"/>
  <c r="X955"/>
  <c r="CT528"/>
  <c r="W528" s="1"/>
  <c r="Z528"/>
  <c r="Y528"/>
  <c r="X528"/>
  <c r="CT186"/>
  <c r="W186"/>
  <c r="Z186"/>
  <c r="Y186"/>
  <c r="X186"/>
  <c r="CT252"/>
  <c r="W252" s="1"/>
  <c r="Z252"/>
  <c r="Y252"/>
  <c r="X252"/>
  <c r="CT770"/>
  <c r="W770"/>
  <c r="Z770"/>
  <c r="Y770"/>
  <c r="X770"/>
  <c r="H939"/>
  <c r="H949"/>
  <c r="CT1241"/>
  <c r="W1241" s="1"/>
  <c r="Z1241"/>
  <c r="Y1241"/>
  <c r="X1241"/>
  <c r="CT1240"/>
  <c r="W1240"/>
  <c r="Z1240"/>
  <c r="Y1240"/>
  <c r="X1240"/>
  <c r="CT1239"/>
  <c r="W1239" s="1"/>
  <c r="Z1239"/>
  <c r="Y1239"/>
  <c r="X1239"/>
  <c r="CT599"/>
  <c r="W599"/>
  <c r="Z599"/>
  <c r="Y599"/>
  <c r="X599"/>
  <c r="CT597"/>
  <c r="W597" s="1"/>
  <c r="Z597"/>
  <c r="Y597"/>
  <c r="X597"/>
  <c r="CT600"/>
  <c r="W600"/>
  <c r="Z600"/>
  <c r="Y600"/>
  <c r="X600"/>
  <c r="CT878"/>
  <c r="W878" s="1"/>
  <c r="Z878"/>
  <c r="Y878"/>
  <c r="X878"/>
  <c r="DB1512"/>
  <c r="Y1512"/>
  <c r="AY1512"/>
  <c r="AU1512"/>
  <c r="CX1512"/>
  <c r="AY1395"/>
  <c r="CO1395"/>
  <c r="CO1390"/>
  <c r="X1388"/>
  <c r="CM564"/>
  <c r="CQ564"/>
  <c r="CX564"/>
  <c r="CM596"/>
  <c r="CX596"/>
  <c r="CQ583"/>
  <c r="CM583"/>
  <c r="CT583" s="1"/>
  <c r="W583" s="1"/>
  <c r="CX583"/>
  <c r="X583"/>
  <c r="CQ581"/>
  <c r="CM581"/>
  <c r="CX581"/>
  <c r="CQ579"/>
  <c r="CM579"/>
  <c r="CX579"/>
  <c r="X579" s="1"/>
  <c r="CI503"/>
  <c r="CM503"/>
  <c r="BK503"/>
  <c r="CQ503"/>
  <c r="CO503"/>
  <c r="CX503"/>
  <c r="X503"/>
  <c r="CO928"/>
  <c r="BK928"/>
  <c r="BY1387"/>
  <c r="CT251"/>
  <c r="W251" s="1"/>
  <c r="CT1101"/>
  <c r="W1101" s="1"/>
  <c r="Z1101"/>
  <c r="Y1101"/>
  <c r="X1101"/>
  <c r="CT1173"/>
  <c r="W1173"/>
  <c r="Z1173"/>
  <c r="Y1173"/>
  <c r="X1173"/>
  <c r="Z954"/>
  <c r="Y954"/>
  <c r="X954"/>
  <c r="H1323"/>
  <c r="H185"/>
  <c r="I185"/>
  <c r="I212"/>
  <c r="J185"/>
  <c r="J212"/>
  <c r="CT877"/>
  <c r="W877"/>
  <c r="Z877"/>
  <c r="Y877"/>
  <c r="X877"/>
  <c r="CT73"/>
  <c r="W73" s="1"/>
  <c r="Z73"/>
  <c r="Y73"/>
  <c r="X73"/>
  <c r="CT862"/>
  <c r="W862"/>
  <c r="W863" s="1"/>
  <c r="Z862"/>
  <c r="Z863" s="1"/>
  <c r="Y862"/>
  <c r="Y863" s="1"/>
  <c r="X862"/>
  <c r="X863" s="1"/>
  <c r="CT953"/>
  <c r="W953" s="1"/>
  <c r="Z953"/>
  <c r="Y953"/>
  <c r="X953"/>
  <c r="CT397"/>
  <c r="W397"/>
  <c r="Z397"/>
  <c r="Y397"/>
  <c r="X397"/>
  <c r="CT72"/>
  <c r="W72" s="1"/>
  <c r="Z72"/>
  <c r="Y72"/>
  <c r="X72"/>
  <c r="CT1323"/>
  <c r="W1323"/>
  <c r="Z1323"/>
  <c r="Y1323"/>
  <c r="X1323"/>
  <c r="Z1517"/>
  <c r="Y1517"/>
  <c r="X1517"/>
  <c r="CT1100"/>
  <c r="W1100"/>
  <c r="Z1100"/>
  <c r="Y1100"/>
  <c r="X1100"/>
  <c r="CT1324"/>
  <c r="W1324" s="1"/>
  <c r="Z1324"/>
  <c r="Y1324"/>
  <c r="X1324"/>
  <c r="CT180"/>
  <c r="W180"/>
  <c r="Z180"/>
  <c r="Y180"/>
  <c r="X180"/>
  <c r="CT850"/>
  <c r="W850" s="1"/>
  <c r="Z850"/>
  <c r="Y850"/>
  <c r="X850"/>
  <c r="CT71"/>
  <c r="W71"/>
  <c r="Z71"/>
  <c r="Y71"/>
  <c r="X71"/>
  <c r="CT952"/>
  <c r="W952" s="1"/>
  <c r="Z952"/>
  <c r="Y952"/>
  <c r="X952"/>
  <c r="CT447"/>
  <c r="W447"/>
  <c r="Z447"/>
  <c r="Y447"/>
  <c r="X447"/>
  <c r="CT70"/>
  <c r="W70" s="1"/>
  <c r="Z70"/>
  <c r="Y70"/>
  <c r="X70"/>
  <c r="CT66"/>
  <c r="W66"/>
  <c r="Z66"/>
  <c r="Y66"/>
  <c r="X66"/>
  <c r="CT65"/>
  <c r="W65" s="1"/>
  <c r="Z65"/>
  <c r="Y65"/>
  <c r="X65"/>
  <c r="CT68"/>
  <c r="W68"/>
  <c r="Z68"/>
  <c r="Y68"/>
  <c r="X68"/>
  <c r="CT69"/>
  <c r="W69" s="1"/>
  <c r="Z69"/>
  <c r="Y69"/>
  <c r="X69"/>
  <c r="CT64"/>
  <c r="W64"/>
  <c r="Z64"/>
  <c r="Y64"/>
  <c r="X64"/>
  <c r="CT63"/>
  <c r="W63" s="1"/>
  <c r="Z63"/>
  <c r="Y63"/>
  <c r="X63"/>
  <c r="CT67"/>
  <c r="W67"/>
  <c r="Z67"/>
  <c r="Y67"/>
  <c r="X67"/>
  <c r="CT1096"/>
  <c r="W1096" s="1"/>
  <c r="Z1096"/>
  <c r="Y1096"/>
  <c r="X1096"/>
  <c r="H319"/>
  <c r="H280"/>
  <c r="CT185"/>
  <c r="W185"/>
  <c r="Z185"/>
  <c r="Y185"/>
  <c r="X185"/>
  <c r="CT1095"/>
  <c r="Z1095"/>
  <c r="Y1095"/>
  <c r="X1095"/>
  <c r="W1095"/>
  <c r="CT1172"/>
  <c r="Z1172"/>
  <c r="Y1172"/>
  <c r="X1172"/>
  <c r="W1172"/>
  <c r="CT1094"/>
  <c r="W1094" s="1"/>
  <c r="Z1094"/>
  <c r="Y1094"/>
  <c r="X1094"/>
  <c r="CT60"/>
  <c r="W60"/>
  <c r="Z60"/>
  <c r="Y60"/>
  <c r="X60"/>
  <c r="CT62"/>
  <c r="W62" s="1"/>
  <c r="Z62"/>
  <c r="Y62"/>
  <c r="X62"/>
  <c r="CT1098"/>
  <c r="W1098"/>
  <c r="Z1098"/>
  <c r="Y1098"/>
  <c r="X1098"/>
  <c r="CT1099"/>
  <c r="W1099" s="1"/>
  <c r="Z1099"/>
  <c r="Y1099"/>
  <c r="X1099"/>
  <c r="CT1097"/>
  <c r="W1097"/>
  <c r="Z1097"/>
  <c r="Y1097"/>
  <c r="X1097"/>
  <c r="CT1322"/>
  <c r="W1322" s="1"/>
  <c r="Z1322"/>
  <c r="Y1322"/>
  <c r="X1322"/>
  <c r="CT527"/>
  <c r="W527"/>
  <c r="Z527"/>
  <c r="Y527"/>
  <c r="X527"/>
  <c r="CT250"/>
  <c r="W250" s="1"/>
  <c r="Z250"/>
  <c r="Y250"/>
  <c r="X250"/>
  <c r="CT446"/>
  <c r="W446"/>
  <c r="Z446"/>
  <c r="Y446"/>
  <c r="X446"/>
  <c r="CT644"/>
  <c r="W644" s="1"/>
  <c r="Z644"/>
  <c r="Y644"/>
  <c r="X644"/>
  <c r="CO695"/>
  <c r="X695"/>
  <c r="CO702"/>
  <c r="CT702"/>
  <c r="W702" s="1"/>
  <c r="X702"/>
  <c r="CO697"/>
  <c r="CT697"/>
  <c r="W697" s="1"/>
  <c r="CX687"/>
  <c r="X687" s="1"/>
  <c r="CO701"/>
  <c r="CT701" s="1"/>
  <c r="W701" s="1"/>
  <c r="CO704"/>
  <c r="CN704"/>
  <c r="X700"/>
  <c r="CV1317"/>
  <c r="Z1317" s="1"/>
  <c r="CQ517"/>
  <c r="CO517"/>
  <c r="CI517"/>
  <c r="AY517"/>
  <c r="CQ515"/>
  <c r="CO515"/>
  <c r="CI515"/>
  <c r="AY515"/>
  <c r="CX515"/>
  <c r="X515" s="1"/>
  <c r="CO939"/>
  <c r="CM1382"/>
  <c r="BK1382"/>
  <c r="CX1317"/>
  <c r="X1317"/>
  <c r="H581"/>
  <c r="CT380"/>
  <c r="W380" s="1"/>
  <c r="Z380"/>
  <c r="Y380"/>
  <c r="X380"/>
  <c r="Z135"/>
  <c r="Y135"/>
  <c r="X135"/>
  <c r="CT1396"/>
  <c r="W1396" s="1"/>
  <c r="Z1396"/>
  <c r="Y1396"/>
  <c r="X1396"/>
  <c r="CT709"/>
  <c r="W709"/>
  <c r="Z709"/>
  <c r="Y709"/>
  <c r="X709"/>
  <c r="Z581"/>
  <c r="Y581"/>
  <c r="X581"/>
  <c r="CT592"/>
  <c r="W592"/>
  <c r="Z592"/>
  <c r="Y592"/>
  <c r="X592"/>
  <c r="CT184"/>
  <c r="W184" s="1"/>
  <c r="Z184"/>
  <c r="Y184"/>
  <c r="X184"/>
  <c r="CM591"/>
  <c r="CQ591"/>
  <c r="CT591" s="1"/>
  <c r="W591" s="1"/>
  <c r="CM589"/>
  <c r="CQ589"/>
  <c r="CM582"/>
  <c r="CQ582"/>
  <c r="CM584"/>
  <c r="CQ584"/>
  <c r="CM578"/>
  <c r="CQ578"/>
  <c r="CM577"/>
  <c r="CQ577"/>
  <c r="CO698"/>
  <c r="CT698"/>
  <c r="W698" s="1"/>
  <c r="BY699"/>
  <c r="CO699"/>
  <c r="CO945"/>
  <c r="BA945"/>
  <c r="CV945"/>
  <c r="CT1400"/>
  <c r="W1400"/>
  <c r="Z1400"/>
  <c r="Y1400"/>
  <c r="X1400"/>
  <c r="CT707"/>
  <c r="W707" s="1"/>
  <c r="Z707"/>
  <c r="Y707"/>
  <c r="X707"/>
  <c r="CT445"/>
  <c r="W445"/>
  <c r="Z445"/>
  <c r="Y445"/>
  <c r="X445"/>
  <c r="CT323"/>
  <c r="W323" s="1"/>
  <c r="Z323"/>
  <c r="Y323"/>
  <c r="X323"/>
  <c r="CT1001"/>
  <c r="W1001"/>
  <c r="Z1001"/>
  <c r="Y1001"/>
  <c r="X1001"/>
  <c r="CT1093"/>
  <c r="W1093" s="1"/>
  <c r="Z1093"/>
  <c r="X1093"/>
  <c r="CT322"/>
  <c r="W322" s="1"/>
  <c r="Z322"/>
  <c r="Y322"/>
  <c r="X322"/>
  <c r="CT183"/>
  <c r="W183"/>
  <c r="Z183"/>
  <c r="Y183"/>
  <c r="X183"/>
  <c r="CT1453"/>
  <c r="W1453" s="1"/>
  <c r="Z1453"/>
  <c r="Y1453"/>
  <c r="X1453"/>
  <c r="CT1092"/>
  <c r="W1092"/>
  <c r="Z1092"/>
  <c r="Y1092"/>
  <c r="X1092"/>
  <c r="CT708"/>
  <c r="W708" s="1"/>
  <c r="Z708"/>
  <c r="Y708"/>
  <c r="X708"/>
  <c r="CT950"/>
  <c r="W950"/>
  <c r="Z950"/>
  <c r="Y950"/>
  <c r="X950"/>
  <c r="Z951"/>
  <c r="Y951"/>
  <c r="X951"/>
  <c r="CT321"/>
  <c r="W321"/>
  <c r="Z321"/>
  <c r="Y321"/>
  <c r="X321"/>
  <c r="CT848"/>
  <c r="W848" s="1"/>
  <c r="Z848"/>
  <c r="Y848"/>
  <c r="X848"/>
  <c r="H137"/>
  <c r="H139"/>
  <c r="I137"/>
  <c r="I139"/>
  <c r="K137"/>
  <c r="K139"/>
  <c r="H1086"/>
  <c r="H1149" s="1"/>
  <c r="CT949"/>
  <c r="W949" s="1"/>
  <c r="Z949"/>
  <c r="Y949"/>
  <c r="X949"/>
  <c r="CT1398"/>
  <c r="W1398"/>
  <c r="Z1398"/>
  <c r="Y1398"/>
  <c r="X1398"/>
  <c r="CT182"/>
  <c r="W182" s="1"/>
  <c r="Z182"/>
  <c r="Y182"/>
  <c r="X182"/>
  <c r="CT482"/>
  <c r="W482"/>
  <c r="Z482"/>
  <c r="Y482"/>
  <c r="X482"/>
  <c r="CT484"/>
  <c r="W484" s="1"/>
  <c r="Z484"/>
  <c r="X484"/>
  <c r="CT1091"/>
  <c r="W1091" s="1"/>
  <c r="Z1091"/>
  <c r="Y1091"/>
  <c r="X1091"/>
  <c r="CT1514"/>
  <c r="W1514"/>
  <c r="Z1514"/>
  <c r="Y1514"/>
  <c r="X1514"/>
  <c r="CT875"/>
  <c r="W875" s="1"/>
  <c r="Z875"/>
  <c r="Y875"/>
  <c r="X875"/>
  <c r="CT1391"/>
  <c r="W1391"/>
  <c r="Z1391"/>
  <c r="Y1391"/>
  <c r="X1391"/>
  <c r="CO684"/>
  <c r="CT684" s="1"/>
  <c r="W684" s="1"/>
  <c r="CO687"/>
  <c r="CO693"/>
  <c r="CO700"/>
  <c r="CO685"/>
  <c r="CT685" s="1"/>
  <c r="W685" s="1"/>
  <c r="CO703"/>
  <c r="CO690"/>
  <c r="CN690"/>
  <c r="CO689"/>
  <c r="CO682"/>
  <c r="CT595"/>
  <c r="W595" s="1"/>
  <c r="Z595"/>
  <c r="Y595"/>
  <c r="X595"/>
  <c r="CT706"/>
  <c r="W706"/>
  <c r="Z706"/>
  <c r="Y706"/>
  <c r="X706"/>
  <c r="CT1086"/>
  <c r="W1086" s="1"/>
  <c r="Z1086"/>
  <c r="X1086"/>
  <c r="CQ294"/>
  <c r="CO294"/>
  <c r="CX294"/>
  <c r="X294" s="1"/>
  <c r="X689"/>
  <c r="CT137"/>
  <c r="W137"/>
  <c r="Z137"/>
  <c r="Y137"/>
  <c r="X137"/>
  <c r="CT1321"/>
  <c r="W1321" s="1"/>
  <c r="Z1321"/>
  <c r="Y1321"/>
  <c r="X1321"/>
  <c r="CT181"/>
  <c r="W181"/>
  <c r="Z181"/>
  <c r="Y181"/>
  <c r="X181"/>
  <c r="CT1090"/>
  <c r="W1090" s="1"/>
  <c r="Z1090"/>
  <c r="Y1090"/>
  <c r="X1090"/>
  <c r="CT874"/>
  <c r="W874"/>
  <c r="Z874"/>
  <c r="Y874"/>
  <c r="X874"/>
  <c r="H393"/>
  <c r="H382"/>
  <c r="H379"/>
  <c r="H384"/>
  <c r="H381"/>
  <c r="H390"/>
  <c r="H389"/>
  <c r="H385"/>
  <c r="CT876"/>
  <c r="W876" s="1"/>
  <c r="Z876"/>
  <c r="Y876"/>
  <c r="X876"/>
  <c r="CT639"/>
  <c r="W639"/>
  <c r="Z639"/>
  <c r="Y639"/>
  <c r="X639"/>
  <c r="CT393"/>
  <c r="W393" s="1"/>
  <c r="Z393"/>
  <c r="Y393"/>
  <c r="X393"/>
  <c r="CT394"/>
  <c r="W394"/>
  <c r="Z394"/>
  <c r="Y394"/>
  <c r="X394"/>
  <c r="CT382"/>
  <c r="W382" s="1"/>
  <c r="Z382"/>
  <c r="Y382"/>
  <c r="X382"/>
  <c r="CT388"/>
  <c r="W388"/>
  <c r="Z388"/>
  <c r="Y388"/>
  <c r="X388"/>
  <c r="CT384"/>
  <c r="W384" s="1"/>
  <c r="Z384"/>
  <c r="Y384"/>
  <c r="X384"/>
  <c r="CT385"/>
  <c r="W385"/>
  <c r="Z385"/>
  <c r="Y385"/>
  <c r="X385"/>
  <c r="CT132"/>
  <c r="W132" s="1"/>
  <c r="Z132"/>
  <c r="Y132"/>
  <c r="X132"/>
  <c r="X1386"/>
  <c r="H443"/>
  <c r="H471" s="1"/>
  <c r="CT1088"/>
  <c r="W1088" s="1"/>
  <c r="Z1088"/>
  <c r="X1088"/>
  <c r="CT59"/>
  <c r="W59" s="1"/>
  <c r="Z59"/>
  <c r="Y59"/>
  <c r="X59"/>
  <c r="CT58"/>
  <c r="W58"/>
  <c r="Z58"/>
  <c r="Y58"/>
  <c r="X58"/>
  <c r="CT645"/>
  <c r="W645" s="1"/>
  <c r="Z645"/>
  <c r="Y645"/>
  <c r="X645"/>
  <c r="CT948"/>
  <c r="W948"/>
  <c r="Z948"/>
  <c r="Y948"/>
  <c r="X948"/>
  <c r="CT947"/>
  <c r="W947" s="1"/>
  <c r="Z947"/>
  <c r="Y947"/>
  <c r="X947"/>
  <c r="CT320"/>
  <c r="W320"/>
  <c r="Z320"/>
  <c r="Y320"/>
  <c r="X320"/>
  <c r="CT946"/>
  <c r="W946" s="1"/>
  <c r="Z946"/>
  <c r="Y946"/>
  <c r="X946"/>
  <c r="CT1000"/>
  <c r="W1000"/>
  <c r="Z1000"/>
  <c r="Y1000"/>
  <c r="X1000"/>
  <c r="CT56"/>
  <c r="W56" s="1"/>
  <c r="Z56"/>
  <c r="Y56"/>
  <c r="X56"/>
  <c r="CT1393"/>
  <c r="W1393"/>
  <c r="Z1393"/>
  <c r="Y1393"/>
  <c r="X1393"/>
  <c r="CT705"/>
  <c r="W705" s="1"/>
  <c r="Z705"/>
  <c r="Y705"/>
  <c r="X705"/>
  <c r="CT444"/>
  <c r="W444"/>
  <c r="Z444"/>
  <c r="Y444"/>
  <c r="X444"/>
  <c r="CT443"/>
  <c r="W443" s="1"/>
  <c r="Z443"/>
  <c r="Y443"/>
  <c r="X443"/>
  <c r="CT846"/>
  <c r="W846"/>
  <c r="Z846"/>
  <c r="Y846"/>
  <c r="X846"/>
  <c r="BK1383"/>
  <c r="CM1383"/>
  <c r="CL1383"/>
  <c r="CO1383"/>
  <c r="CN1383"/>
  <c r="BY1383"/>
  <c r="BX1383"/>
  <c r="X1383"/>
  <c r="X1389"/>
  <c r="CO1389"/>
  <c r="BA1389"/>
  <c r="CT1389" s="1"/>
  <c r="W1389" s="1"/>
  <c r="BA1384"/>
  <c r="CO1384"/>
  <c r="CQ690"/>
  <c r="CQ686"/>
  <c r="CO686"/>
  <c r="CX589"/>
  <c r="X589"/>
  <c r="CX582"/>
  <c r="X582"/>
  <c r="CX584"/>
  <c r="X584"/>
  <c r="CX591"/>
  <c r="X591"/>
  <c r="CX578"/>
  <c r="X578"/>
  <c r="CX577"/>
  <c r="X316"/>
  <c r="H695"/>
  <c r="H694"/>
  <c r="H693"/>
  <c r="H686"/>
  <c r="H704"/>
  <c r="H684"/>
  <c r="Z1512"/>
  <c r="X1512"/>
  <c r="CT57"/>
  <c r="W57"/>
  <c r="Z57"/>
  <c r="Y57"/>
  <c r="X57"/>
  <c r="CT1452"/>
  <c r="W1452" s="1"/>
  <c r="Z1452"/>
  <c r="Y1452"/>
  <c r="X1452"/>
  <c r="CT177"/>
  <c r="W177"/>
  <c r="Z177"/>
  <c r="Y177"/>
  <c r="X177"/>
  <c r="CT176"/>
  <c r="W176" s="1"/>
  <c r="Z176"/>
  <c r="Y176"/>
  <c r="X176"/>
  <c r="CT845"/>
  <c r="W845"/>
  <c r="Z845"/>
  <c r="Y845"/>
  <c r="X845"/>
  <c r="CT526"/>
  <c r="W526" s="1"/>
  <c r="Z526"/>
  <c r="Y526"/>
  <c r="X526"/>
  <c r="CT1238"/>
  <c r="W1238"/>
  <c r="Z1238"/>
  <c r="Y1238"/>
  <c r="X1238"/>
  <c r="CT999"/>
  <c r="W999" s="1"/>
  <c r="Z999"/>
  <c r="Y999"/>
  <c r="X999"/>
  <c r="CT54"/>
  <c r="W54"/>
  <c r="Z54"/>
  <c r="Y54"/>
  <c r="X54"/>
  <c r="CT1089"/>
  <c r="W1089" s="1"/>
  <c r="Z1089"/>
  <c r="Y1089"/>
  <c r="X1089"/>
  <c r="CT1394"/>
  <c r="W1394"/>
  <c r="Z1394"/>
  <c r="Y1394"/>
  <c r="X1394"/>
  <c r="CT319"/>
  <c r="W319" s="1"/>
  <c r="Z319"/>
  <c r="Y319"/>
  <c r="X319"/>
  <c r="CT53"/>
  <c r="W53"/>
  <c r="Z53"/>
  <c r="Y53"/>
  <c r="X53"/>
  <c r="Z1395"/>
  <c r="Y1395"/>
  <c r="X1395"/>
  <c r="H683"/>
  <c r="CQ1317"/>
  <c r="CO1317"/>
  <c r="CX942"/>
  <c r="X942" s="1"/>
  <c r="CW942"/>
  <c r="CN942"/>
  <c r="H586"/>
  <c r="H583"/>
  <c r="H587"/>
  <c r="H580"/>
  <c r="H585"/>
  <c r="H588"/>
  <c r="H590"/>
  <c r="H589"/>
  <c r="H582"/>
  <c r="H584"/>
  <c r="H591"/>
  <c r="H578"/>
  <c r="CV943"/>
  <c r="Z943" s="1"/>
  <c r="CO841"/>
  <c r="CI841"/>
  <c r="BK841"/>
  <c r="CQ32"/>
  <c r="CO32"/>
  <c r="CX32"/>
  <c r="AY1383"/>
  <c r="H157"/>
  <c r="H167"/>
  <c r="CM942"/>
  <c r="BK942"/>
  <c r="CX311"/>
  <c r="X311" s="1"/>
  <c r="CX298"/>
  <c r="X309"/>
  <c r="CQ293"/>
  <c r="CP293"/>
  <c r="CO293"/>
  <c r="CN293"/>
  <c r="CX841"/>
  <c r="X841" s="1"/>
  <c r="CT1153"/>
  <c r="W1153" s="1"/>
  <c r="Z1153"/>
  <c r="Y1153"/>
  <c r="X1153"/>
  <c r="CT134"/>
  <c r="W134"/>
  <c r="Z134"/>
  <c r="Y134"/>
  <c r="X134"/>
  <c r="CT55"/>
  <c r="W55" s="1"/>
  <c r="Z55"/>
  <c r="Y55"/>
  <c r="X55"/>
  <c r="CT178"/>
  <c r="W178"/>
  <c r="Z178"/>
  <c r="Y178"/>
  <c r="X178"/>
  <c r="CT179"/>
  <c r="W179" s="1"/>
  <c r="Z179"/>
  <c r="Y179"/>
  <c r="X179"/>
  <c r="CT768"/>
  <c r="W768"/>
  <c r="Z768"/>
  <c r="Y768"/>
  <c r="X768"/>
  <c r="CT1237"/>
  <c r="W1237" s="1"/>
  <c r="Z1237"/>
  <c r="Y1237"/>
  <c r="X1237"/>
  <c r="CT695"/>
  <c r="W695"/>
  <c r="Z695"/>
  <c r="Y695"/>
  <c r="CT683"/>
  <c r="W683"/>
  <c r="Z683"/>
  <c r="Y683"/>
  <c r="X683"/>
  <c r="CT1169"/>
  <c r="W1169" s="1"/>
  <c r="Z1169"/>
  <c r="Y1169"/>
  <c r="X1169"/>
  <c r="CT249"/>
  <c r="W249"/>
  <c r="Z249"/>
  <c r="Y249"/>
  <c r="X249"/>
  <c r="CT395"/>
  <c r="W395" s="1"/>
  <c r="Z395"/>
  <c r="Y395"/>
  <c r="X395"/>
  <c r="CT136"/>
  <c r="W136"/>
  <c r="Z136"/>
  <c r="Y136"/>
  <c r="X136"/>
  <c r="Z583"/>
  <c r="Y583"/>
  <c r="CT587"/>
  <c r="W587" s="1"/>
  <c r="Z587"/>
  <c r="Y587"/>
  <c r="X587"/>
  <c r="CT580"/>
  <c r="W580"/>
  <c r="Z580"/>
  <c r="Y580"/>
  <c r="X580"/>
  <c r="CT596"/>
  <c r="W596" s="1"/>
  <c r="Z596"/>
  <c r="Y596"/>
  <c r="X596"/>
  <c r="CT585"/>
  <c r="W585"/>
  <c r="Z585"/>
  <c r="Y585"/>
  <c r="X585"/>
  <c r="CT588"/>
  <c r="W588" s="1"/>
  <c r="Z588"/>
  <c r="Y588"/>
  <c r="X588"/>
  <c r="CT590"/>
  <c r="W590"/>
  <c r="Z590"/>
  <c r="Y590"/>
  <c r="X590"/>
  <c r="CT589"/>
  <c r="W589" s="1"/>
  <c r="Z589"/>
  <c r="Y589"/>
  <c r="Z582"/>
  <c r="Y582"/>
  <c r="Z584"/>
  <c r="Y584"/>
  <c r="CT593"/>
  <c r="W593" s="1"/>
  <c r="Z593"/>
  <c r="Y593"/>
  <c r="X593"/>
  <c r="CT1451"/>
  <c r="W1451"/>
  <c r="Z1451"/>
  <c r="Y1451"/>
  <c r="X1451"/>
  <c r="CT1318"/>
  <c r="W1318" s="1"/>
  <c r="Z1318"/>
  <c r="Y1318"/>
  <c r="X1318"/>
  <c r="CT157"/>
  <c r="W157"/>
  <c r="Z157"/>
  <c r="Y157"/>
  <c r="X157"/>
  <c r="Z591"/>
  <c r="Y591"/>
  <c r="CQ691"/>
  <c r="CP691"/>
  <c r="CO691"/>
  <c r="CT691" s="1"/>
  <c r="W691" s="1"/>
  <c r="CN691"/>
  <c r="CX691"/>
  <c r="CW691"/>
  <c r="CI942"/>
  <c r="X307"/>
  <c r="H636"/>
  <c r="CQ300"/>
  <c r="CO300"/>
  <c r="CX300"/>
  <c r="X300"/>
  <c r="CX303"/>
  <c r="X303"/>
  <c r="X305"/>
  <c r="CX295"/>
  <c r="X295" s="1"/>
  <c r="CQ287"/>
  <c r="CO287"/>
  <c r="X302"/>
  <c r="H522"/>
  <c r="H287"/>
  <c r="H312"/>
  <c r="H295"/>
  <c r="CT307"/>
  <c r="W307"/>
  <c r="CM280"/>
  <c r="BK302"/>
  <c r="CT302" s="1"/>
  <c r="W302" s="1"/>
  <c r="CT301"/>
  <c r="W301"/>
  <c r="CT311"/>
  <c r="W311"/>
  <c r="CM298"/>
  <c r="CT309"/>
  <c r="W309" s="1"/>
  <c r="CM303"/>
  <c r="CT303" s="1"/>
  <c r="W303" s="1"/>
  <c r="CM295"/>
  <c r="CT295"/>
  <c r="W295" s="1"/>
  <c r="CM290"/>
  <c r="CQ1383"/>
  <c r="CV383"/>
  <c r="Z383" s="1"/>
  <c r="CU383"/>
  <c r="CV298"/>
  <c r="Z298"/>
  <c r="CV308"/>
  <c r="CV310"/>
  <c r="Z310" s="1"/>
  <c r="CV309"/>
  <c r="Z309" s="1"/>
  <c r="BY942"/>
  <c r="CV942"/>
  <c r="Z942"/>
  <c r="H944"/>
  <c r="H503"/>
  <c r="H164"/>
  <c r="CO942"/>
  <c r="CT636"/>
  <c r="W636"/>
  <c r="Z636"/>
  <c r="Y636"/>
  <c r="X636"/>
  <c r="CT522"/>
  <c r="W522" s="1"/>
  <c r="Z522"/>
  <c r="Y522"/>
  <c r="X522"/>
  <c r="CT1319"/>
  <c r="W1319"/>
  <c r="Z1319"/>
  <c r="Y1319"/>
  <c r="X1319"/>
  <c r="CT844"/>
  <c r="W844" s="1"/>
  <c r="Z844"/>
  <c r="Y844"/>
  <c r="X844"/>
  <c r="CT1392"/>
  <c r="W1392"/>
  <c r="Z1392"/>
  <c r="Y1392"/>
  <c r="X1392"/>
  <c r="Y1317"/>
  <c r="CT317"/>
  <c r="W317"/>
  <c r="Z317"/>
  <c r="Y317"/>
  <c r="X317"/>
  <c r="CT318"/>
  <c r="W318" s="1"/>
  <c r="Z318"/>
  <c r="Y318"/>
  <c r="X318"/>
  <c r="CT316"/>
  <c r="W316"/>
  <c r="Z316"/>
  <c r="Y316"/>
  <c r="Z698"/>
  <c r="Y698"/>
  <c r="X698"/>
  <c r="CT1235"/>
  <c r="W1235" s="1"/>
  <c r="Z1235"/>
  <c r="Y1235"/>
  <c r="X1235"/>
  <c r="CT1234"/>
  <c r="W1234"/>
  <c r="Z1234"/>
  <c r="Y1234"/>
  <c r="X1234"/>
  <c r="CT52"/>
  <c r="W52" s="1"/>
  <c r="Z52"/>
  <c r="Y52"/>
  <c r="X52"/>
  <c r="Z945"/>
  <c r="Y945"/>
  <c r="X945"/>
  <c r="CT628"/>
  <c r="W628" s="1"/>
  <c r="Z628"/>
  <c r="Y628"/>
  <c r="X628"/>
  <c r="CT643"/>
  <c r="W643"/>
  <c r="Z643"/>
  <c r="Y643"/>
  <c r="X643"/>
  <c r="CT703"/>
  <c r="W703" s="1"/>
  <c r="Z703"/>
  <c r="Y703"/>
  <c r="X703"/>
  <c r="CT315"/>
  <c r="W315"/>
  <c r="Z315"/>
  <c r="Y315"/>
  <c r="X315"/>
  <c r="CT1450"/>
  <c r="W1450" s="1"/>
  <c r="Z1450"/>
  <c r="Y1450"/>
  <c r="X1450"/>
  <c r="CT1236"/>
  <c r="W1236"/>
  <c r="Z1236"/>
  <c r="Y1236"/>
  <c r="X1236"/>
  <c r="CT175"/>
  <c r="W175" s="1"/>
  <c r="Z175"/>
  <c r="Y175"/>
  <c r="X175"/>
  <c r="AA1082"/>
  <c r="AA1149"/>
  <c r="AA1085"/>
  <c r="CQ392"/>
  <c r="CO392"/>
  <c r="CX392"/>
  <c r="X392" s="1"/>
  <c r="CV291"/>
  <c r="Z291" s="1"/>
  <c r="CU291"/>
  <c r="CQ1388"/>
  <c r="CO1388"/>
  <c r="Z701"/>
  <c r="Y701"/>
  <c r="X701"/>
  <c r="Z702"/>
  <c r="Y702"/>
  <c r="CT937"/>
  <c r="W937" s="1"/>
  <c r="Z937"/>
  <c r="Y937"/>
  <c r="X937"/>
  <c r="CT938"/>
  <c r="W938"/>
  <c r="Z938"/>
  <c r="Y938"/>
  <c r="X938"/>
  <c r="X39"/>
  <c r="Z704"/>
  <c r="Y704"/>
  <c r="X704"/>
  <c r="CT174"/>
  <c r="W174" s="1"/>
  <c r="Z174"/>
  <c r="Y174"/>
  <c r="X174"/>
  <c r="CT1509"/>
  <c r="W1509"/>
  <c r="Z1509"/>
  <c r="Y1509"/>
  <c r="X1509"/>
  <c r="CT502"/>
  <c r="W502" s="1"/>
  <c r="Z502"/>
  <c r="Y502"/>
  <c r="X502"/>
  <c r="CT503"/>
  <c r="W503"/>
  <c r="Z503"/>
  <c r="Y503"/>
  <c r="CT944"/>
  <c r="W944"/>
  <c r="Z944"/>
  <c r="Y944"/>
  <c r="X944"/>
  <c r="CT1449"/>
  <c r="W1449" s="1"/>
  <c r="Z1449"/>
  <c r="Y1449"/>
  <c r="X1449"/>
  <c r="CT172"/>
  <c r="W172"/>
  <c r="Z172"/>
  <c r="Y172"/>
  <c r="X172"/>
  <c r="CT173"/>
  <c r="W173" s="1"/>
  <c r="Z173"/>
  <c r="Y173"/>
  <c r="X173"/>
  <c r="CT1087"/>
  <c r="W1087"/>
  <c r="Z1087"/>
  <c r="Y1087"/>
  <c r="X1087"/>
  <c r="CT767"/>
  <c r="W767" s="1"/>
  <c r="Z767"/>
  <c r="Y767"/>
  <c r="X767"/>
  <c r="X1387"/>
  <c r="CV162"/>
  <c r="CX162"/>
  <c r="X162"/>
  <c r="CW162"/>
  <c r="CO162"/>
  <c r="CN162"/>
  <c r="CQ162"/>
  <c r="CP162"/>
  <c r="CT1448"/>
  <c r="W1448" s="1"/>
  <c r="Z1448"/>
  <c r="Y1448"/>
  <c r="X1448"/>
  <c r="CT700"/>
  <c r="W700"/>
  <c r="Z700"/>
  <c r="Y700"/>
  <c r="Y942"/>
  <c r="Z311"/>
  <c r="Y311"/>
  <c r="Z295"/>
  <c r="Y295"/>
  <c r="CT943"/>
  <c r="W943" s="1"/>
  <c r="Y943"/>
  <c r="X943"/>
  <c r="CT998"/>
  <c r="W998" s="1"/>
  <c r="Z998"/>
  <c r="Y998"/>
  <c r="X998"/>
  <c r="Z699"/>
  <c r="Y699"/>
  <c r="X699"/>
  <c r="CT642"/>
  <c r="W642" s="1"/>
  <c r="Z642"/>
  <c r="Y642"/>
  <c r="X642"/>
  <c r="CT51"/>
  <c r="W51"/>
  <c r="Z51"/>
  <c r="Y51"/>
  <c r="X51"/>
  <c r="CT1079"/>
  <c r="W1079" s="1"/>
  <c r="Z1079"/>
  <c r="Y1079"/>
  <c r="X1079"/>
  <c r="CT637"/>
  <c r="W637"/>
  <c r="Z637"/>
  <c r="Y637"/>
  <c r="X637"/>
  <c r="CT171"/>
  <c r="W171" s="1"/>
  <c r="Z171"/>
  <c r="Y171"/>
  <c r="X171"/>
  <c r="CT314"/>
  <c r="W314"/>
  <c r="Z314"/>
  <c r="Y314"/>
  <c r="X314"/>
  <c r="K170"/>
  <c r="K212" s="1"/>
  <c r="CV161"/>
  <c r="CQ161"/>
  <c r="CO161"/>
  <c r="CX161"/>
  <c r="H1310"/>
  <c r="H1378" s="1"/>
  <c r="H523"/>
  <c r="AY917"/>
  <c r="CX917"/>
  <c r="CT50"/>
  <c r="W50" s="1"/>
  <c r="Z50"/>
  <c r="Y50"/>
  <c r="X50"/>
  <c r="CT1152"/>
  <c r="W1152"/>
  <c r="Z1152"/>
  <c r="Y1152"/>
  <c r="X1152"/>
  <c r="CT941"/>
  <c r="W941" s="1"/>
  <c r="Z941"/>
  <c r="Y941"/>
  <c r="X941"/>
  <c r="CT312"/>
  <c r="W312"/>
  <c r="Z312"/>
  <c r="Y312"/>
  <c r="X312"/>
  <c r="CT1309"/>
  <c r="W1309" s="1"/>
  <c r="Z1309"/>
  <c r="Y1309"/>
  <c r="X1309"/>
  <c r="CT1308"/>
  <c r="W1308"/>
  <c r="Z1308"/>
  <c r="Y1308"/>
  <c r="X1308"/>
  <c r="Z841"/>
  <c r="Y841"/>
  <c r="Z307"/>
  <c r="Y307"/>
  <c r="CT523"/>
  <c r="W523" s="1"/>
  <c r="Z523"/>
  <c r="Y523"/>
  <c r="X523"/>
  <c r="CT920"/>
  <c r="W920"/>
  <c r="Z920"/>
  <c r="Y920"/>
  <c r="X920"/>
  <c r="CT927"/>
  <c r="W927" s="1"/>
  <c r="Z927"/>
  <c r="Y927"/>
  <c r="X927"/>
  <c r="CT925"/>
  <c r="W925"/>
  <c r="Z925"/>
  <c r="Y925"/>
  <c r="X925"/>
  <c r="CT926"/>
  <c r="W926" s="1"/>
  <c r="Z926"/>
  <c r="Y926"/>
  <c r="X926"/>
  <c r="CT924"/>
  <c r="W924"/>
  <c r="Z924"/>
  <c r="Y924"/>
  <c r="X924"/>
  <c r="CT930"/>
  <c r="W930" s="1"/>
  <c r="Z930"/>
  <c r="Y930"/>
  <c r="X930"/>
  <c r="CT935"/>
  <c r="W935"/>
  <c r="Z935"/>
  <c r="Y935"/>
  <c r="X935"/>
  <c r="CT842"/>
  <c r="W842" s="1"/>
  <c r="Z842"/>
  <c r="Y842"/>
  <c r="X842"/>
  <c r="CT843"/>
  <c r="W843"/>
  <c r="Z843"/>
  <c r="Y843"/>
  <c r="X843"/>
  <c r="CT313"/>
  <c r="W313" s="1"/>
  <c r="Z313"/>
  <c r="Y313"/>
  <c r="X313"/>
  <c r="CT48"/>
  <c r="W48"/>
  <c r="Z48"/>
  <c r="Y48"/>
  <c r="X48"/>
  <c r="CT49"/>
  <c r="W49" s="1"/>
  <c r="Z49"/>
  <c r="Y49"/>
  <c r="X49"/>
  <c r="CT919"/>
  <c r="W919"/>
  <c r="Z919"/>
  <c r="Y919"/>
  <c r="X919"/>
  <c r="CT641"/>
  <c r="W641" s="1"/>
  <c r="Z641"/>
  <c r="Y641"/>
  <c r="X641"/>
  <c r="CT932"/>
  <c r="W932"/>
  <c r="Z932"/>
  <c r="Y932"/>
  <c r="X932"/>
  <c r="CT928"/>
  <c r="W928" s="1"/>
  <c r="Z928"/>
  <c r="Y928"/>
  <c r="X928"/>
  <c r="CT922"/>
  <c r="W922" s="1"/>
  <c r="AC922" s="1"/>
  <c r="Z922"/>
  <c r="Y922"/>
  <c r="X922"/>
  <c r="CT933"/>
  <c r="W933"/>
  <c r="Z933"/>
  <c r="Y933"/>
  <c r="X933"/>
  <c r="CT929"/>
  <c r="W929" s="1"/>
  <c r="AC929" s="1"/>
  <c r="Z929"/>
  <c r="Y929"/>
  <c r="X929"/>
  <c r="CT923"/>
  <c r="W923"/>
  <c r="Z923"/>
  <c r="Y923"/>
  <c r="X923"/>
  <c r="CT936"/>
  <c r="W936" s="1"/>
  <c r="AC936" s="1"/>
  <c r="Z936"/>
  <c r="Y936"/>
  <c r="X936"/>
  <c r="CT934"/>
  <c r="W934"/>
  <c r="Z934"/>
  <c r="Y934"/>
  <c r="X934"/>
  <c r="CT921"/>
  <c r="W921" s="1"/>
  <c r="AC921" s="1"/>
  <c r="Z921"/>
  <c r="Y921"/>
  <c r="X921"/>
  <c r="CT931"/>
  <c r="W931"/>
  <c r="Z931"/>
  <c r="Y931"/>
  <c r="X931"/>
  <c r="CT169"/>
  <c r="W169" s="1"/>
  <c r="AC169" s="1"/>
  <c r="Z169"/>
  <c r="Y169"/>
  <c r="X169"/>
  <c r="CQ1387"/>
  <c r="CO1387"/>
  <c r="AA39"/>
  <c r="AA125"/>
  <c r="CT752"/>
  <c r="W752"/>
  <c r="Z752"/>
  <c r="Y752"/>
  <c r="X752"/>
  <c r="CT170"/>
  <c r="W170" s="1"/>
  <c r="AC170" s="1"/>
  <c r="Z170"/>
  <c r="Y170"/>
  <c r="X170"/>
  <c r="CT167"/>
  <c r="W167"/>
  <c r="Z167"/>
  <c r="Y167"/>
  <c r="X167"/>
  <c r="CT640"/>
  <c r="W640" s="1"/>
  <c r="AC640" s="1"/>
  <c r="Z640"/>
  <c r="Y640"/>
  <c r="X640"/>
  <c r="Z697"/>
  <c r="Y697"/>
  <c r="X697"/>
  <c r="CT940"/>
  <c r="W940" s="1"/>
  <c r="AC940" s="1"/>
  <c r="Z940"/>
  <c r="Y940"/>
  <c r="X940"/>
  <c r="Z939"/>
  <c r="Y939"/>
  <c r="X939"/>
  <c r="CT1232"/>
  <c r="W1232" s="1"/>
  <c r="AC1232" s="1"/>
  <c r="Z1232"/>
  <c r="Y1232"/>
  <c r="X1232"/>
  <c r="CT1233"/>
  <c r="W1233"/>
  <c r="Z1233"/>
  <c r="Y1233"/>
  <c r="X1233"/>
  <c r="CT1228"/>
  <c r="W1228" s="1"/>
  <c r="Z1228"/>
  <c r="Y1228"/>
  <c r="X1228"/>
  <c r="CV1314"/>
  <c r="CV1385"/>
  <c r="CU1385"/>
  <c r="BY1388"/>
  <c r="BY287"/>
  <c r="BY39"/>
  <c r="H300"/>
  <c r="H303"/>
  <c r="H306"/>
  <c r="H305"/>
  <c r="H294"/>
  <c r="CT1231"/>
  <c r="W1231" s="1"/>
  <c r="AC1231" s="1"/>
  <c r="Z1231"/>
  <c r="Y1231"/>
  <c r="X1231"/>
  <c r="CT1226"/>
  <c r="W1226"/>
  <c r="Z1226"/>
  <c r="Y1226"/>
  <c r="X1226"/>
  <c r="Z1389"/>
  <c r="Y1389"/>
  <c r="CT1390"/>
  <c r="W1390" s="1"/>
  <c r="AC1390" s="1"/>
  <c r="Z1390"/>
  <c r="Y1390"/>
  <c r="CT696"/>
  <c r="W696" s="1"/>
  <c r="AC696" s="1"/>
  <c r="Z696"/>
  <c r="Y696"/>
  <c r="X696"/>
  <c r="CT1084"/>
  <c r="W1084"/>
  <c r="Z1084"/>
  <c r="Y1084"/>
  <c r="X1084"/>
  <c r="CT297"/>
  <c r="W297" s="1"/>
  <c r="Z297"/>
  <c r="Y297"/>
  <c r="X297"/>
  <c r="Z300"/>
  <c r="Y300"/>
  <c r="Z302"/>
  <c r="Y302"/>
  <c r="CT304"/>
  <c r="W304"/>
  <c r="Z304"/>
  <c r="Y304"/>
  <c r="X304"/>
  <c r="Z303"/>
  <c r="Y303"/>
  <c r="CT306"/>
  <c r="W306" s="1"/>
  <c r="AC306" s="1"/>
  <c r="Z306"/>
  <c r="Y306"/>
  <c r="X306"/>
  <c r="CT299"/>
  <c r="W299"/>
  <c r="Z299"/>
  <c r="Y299"/>
  <c r="X299"/>
  <c r="H682"/>
  <c r="H718" s="1"/>
  <c r="DB914"/>
  <c r="Y914" s="1"/>
  <c r="Y970" s="1"/>
  <c r="CT310"/>
  <c r="W310" s="1"/>
  <c r="Y310"/>
  <c r="X310"/>
  <c r="Y309"/>
  <c r="CT305"/>
  <c r="W305"/>
  <c r="Z305"/>
  <c r="Y305"/>
  <c r="Z301"/>
  <c r="Y301"/>
  <c r="X301"/>
  <c r="CT833"/>
  <c r="W833" s="1"/>
  <c r="AC833" s="1"/>
  <c r="Z833"/>
  <c r="Y833"/>
  <c r="X833"/>
  <c r="CT1083"/>
  <c r="W1083"/>
  <c r="Z1083"/>
  <c r="X1083"/>
  <c r="CT1085"/>
  <c r="W1085"/>
  <c r="Z1085"/>
  <c r="Y1085"/>
  <c r="X1085"/>
  <c r="CT166"/>
  <c r="W166" s="1"/>
  <c r="AC166" s="1"/>
  <c r="Z166"/>
  <c r="Y166"/>
  <c r="X166"/>
  <c r="CT997"/>
  <c r="W997"/>
  <c r="Z997"/>
  <c r="Y997"/>
  <c r="X997"/>
  <c r="CT442"/>
  <c r="W442" s="1"/>
  <c r="AC442" s="1"/>
  <c r="Z442"/>
  <c r="Y442"/>
  <c r="X442"/>
  <c r="CT291"/>
  <c r="W291"/>
  <c r="Y291"/>
  <c r="X291"/>
  <c r="CT1507"/>
  <c r="W1507"/>
  <c r="Z1507"/>
  <c r="Y1507"/>
  <c r="X1507"/>
  <c r="H32"/>
  <c r="CV283"/>
  <c r="CU283"/>
  <c r="CT1493"/>
  <c r="W1493"/>
  <c r="Z1493"/>
  <c r="Y1493"/>
  <c r="X1493"/>
  <c r="CT692"/>
  <c r="W692" s="1"/>
  <c r="AC692" s="1"/>
  <c r="Z692"/>
  <c r="Y692"/>
  <c r="X692"/>
  <c r="CT693"/>
  <c r="W693"/>
  <c r="Z693"/>
  <c r="Y693"/>
  <c r="X693"/>
  <c r="Z691"/>
  <c r="Y691"/>
  <c r="X691"/>
  <c r="CT694"/>
  <c r="W694"/>
  <c r="Z694"/>
  <c r="Y694"/>
  <c r="X694"/>
  <c r="CT47"/>
  <c r="W47" s="1"/>
  <c r="AC47" s="1"/>
  <c r="Z47"/>
  <c r="Y47"/>
  <c r="X47"/>
  <c r="CV917"/>
  <c r="CV276"/>
  <c r="Z276" s="1"/>
  <c r="CQ917"/>
  <c r="CO917"/>
  <c r="H515"/>
  <c r="CT45"/>
  <c r="W45"/>
  <c r="Z45"/>
  <c r="Y45"/>
  <c r="X45"/>
  <c r="CT46"/>
  <c r="W46" s="1"/>
  <c r="AC46" s="1"/>
  <c r="Z46"/>
  <c r="Y46"/>
  <c r="X46"/>
  <c r="CT832"/>
  <c r="W832"/>
  <c r="Z832"/>
  <c r="Y832"/>
  <c r="X832"/>
  <c r="CT298"/>
  <c r="W298" s="1"/>
  <c r="AC298" s="1"/>
  <c r="Y298"/>
  <c r="X298"/>
  <c r="CT1316"/>
  <c r="W1316" s="1"/>
  <c r="AC1316" s="1"/>
  <c r="Z1316"/>
  <c r="Y1316"/>
  <c r="X1316"/>
  <c r="Z392"/>
  <c r="Y392"/>
  <c r="CT1168"/>
  <c r="W1168"/>
  <c r="Z1168"/>
  <c r="Y1168"/>
  <c r="X1168"/>
  <c r="CT638"/>
  <c r="W638" s="1"/>
  <c r="AC638" s="1"/>
  <c r="Z638"/>
  <c r="Y638"/>
  <c r="X638"/>
  <c r="CT515"/>
  <c r="W515"/>
  <c r="Z515"/>
  <c r="Y515"/>
  <c r="CI573"/>
  <c r="AY573"/>
  <c r="CQ573"/>
  <c r="CO573"/>
  <c r="CX573"/>
  <c r="X573"/>
  <c r="X1408"/>
  <c r="Y1408"/>
  <c r="Z1408"/>
  <c r="CT1408"/>
  <c r="W1408"/>
  <c r="X1150"/>
  <c r="X1158" s="1"/>
  <c r="Y1150"/>
  <c r="Y1158" s="1"/>
  <c r="Z1150"/>
  <c r="Z1158" s="1"/>
  <c r="CT1150"/>
  <c r="W1150" s="1"/>
  <c r="H1018"/>
  <c r="X1018"/>
  <c r="Y1018"/>
  <c r="Z1018"/>
  <c r="CT1018"/>
  <c r="W1018"/>
  <c r="H1017"/>
  <c r="X1017"/>
  <c r="Y1017"/>
  <c r="Z1017"/>
  <c r="CT1017"/>
  <c r="W1017"/>
  <c r="H509"/>
  <c r="H561" s="1"/>
  <c r="Y509"/>
  <c r="Y561" s="1"/>
  <c r="Z509"/>
  <c r="Z561" s="1"/>
  <c r="BA509"/>
  <c r="CI509"/>
  <c r="CO509"/>
  <c r="CQ509"/>
  <c r="CX509"/>
  <c r="X509" s="1"/>
  <c r="X719"/>
  <c r="Y719"/>
  <c r="Z719"/>
  <c r="CT719"/>
  <c r="W719"/>
  <c r="X487"/>
  <c r="X508" s="1"/>
  <c r="Y487"/>
  <c r="Y508" s="1"/>
  <c r="Z487"/>
  <c r="Z508" s="1"/>
  <c r="CT487"/>
  <c r="W487" s="1"/>
  <c r="X720"/>
  <c r="Y720"/>
  <c r="Y826" s="1"/>
  <c r="Z720"/>
  <c r="CT720"/>
  <c r="W720" s="1"/>
  <c r="AC720" s="1"/>
  <c r="X721"/>
  <c r="X826" s="1"/>
  <c r="Y721"/>
  <c r="Z721"/>
  <c r="Z826" s="1"/>
  <c r="CT721"/>
  <c r="W721"/>
  <c r="H357"/>
  <c r="X357"/>
  <c r="Y357"/>
  <c r="Z357"/>
  <c r="CT357"/>
  <c r="W357" s="1"/>
  <c r="AC357" s="1"/>
  <c r="X356"/>
  <c r="X438" s="1"/>
  <c r="Y356"/>
  <c r="Y438" s="1"/>
  <c r="Z356"/>
  <c r="Z438" s="1"/>
  <c r="CT356"/>
  <c r="W356" s="1"/>
  <c r="X213"/>
  <c r="Y213"/>
  <c r="Z213"/>
  <c r="CT213"/>
  <c r="W213"/>
  <c r="Y1477"/>
  <c r="Z1477"/>
  <c r="Z1581" s="1"/>
  <c r="AA1477"/>
  <c r="AA1581" s="1"/>
  <c r="CO1477"/>
  <c r="CT1477" s="1"/>
  <c r="W1477" s="1"/>
  <c r="CX1477"/>
  <c r="X1477" s="1"/>
  <c r="Y1409"/>
  <c r="Z1409"/>
  <c r="Z1476" s="1"/>
  <c r="AY1409"/>
  <c r="BA1409"/>
  <c r="CI1409"/>
  <c r="CO1409"/>
  <c r="CQ1409"/>
  <c r="CX1409"/>
  <c r="X1409" s="1"/>
  <c r="X1203"/>
  <c r="X1277" s="1"/>
  <c r="Y1203"/>
  <c r="Z1203"/>
  <c r="Z1277" s="1"/>
  <c r="CT1203"/>
  <c r="W1203" s="1"/>
  <c r="X1205"/>
  <c r="Y1205"/>
  <c r="Z1205"/>
  <c r="CT1205"/>
  <c r="W1205" s="1"/>
  <c r="AC1205" s="1"/>
  <c r="X1411"/>
  <c r="Y1411"/>
  <c r="Z1411"/>
  <c r="CT1411"/>
  <c r="W1411"/>
  <c r="X1410"/>
  <c r="Y1410"/>
  <c r="Z1410"/>
  <c r="CT1410"/>
  <c r="W1410" s="1"/>
  <c r="AC1410" s="1"/>
  <c r="X864"/>
  <c r="X912" s="1"/>
  <c r="Y864"/>
  <c r="Y912" s="1"/>
  <c r="Z864"/>
  <c r="Z912" s="1"/>
  <c r="CT864"/>
  <c r="W864" s="1"/>
  <c r="X1204"/>
  <c r="Y1204"/>
  <c r="Z1204"/>
  <c r="CT1204"/>
  <c r="W1204" s="1"/>
  <c r="AC1204" s="1"/>
  <c r="X358"/>
  <c r="Y358"/>
  <c r="Z358"/>
  <c r="CT358"/>
  <c r="W358"/>
  <c r="H972"/>
  <c r="Y972"/>
  <c r="Z972"/>
  <c r="AY972"/>
  <c r="CI972"/>
  <c r="CO972"/>
  <c r="CQ972"/>
  <c r="CX972"/>
  <c r="X972"/>
  <c r="Y973"/>
  <c r="Z973"/>
  <c r="AY973"/>
  <c r="CI973"/>
  <c r="CO973"/>
  <c r="CQ973"/>
  <c r="CX973"/>
  <c r="X973"/>
  <c r="X359"/>
  <c r="Y359"/>
  <c r="Z359"/>
  <c r="CT359"/>
  <c r="W359" s="1"/>
  <c r="AC359" s="1"/>
  <c r="H1019"/>
  <c r="H1071" s="1"/>
  <c r="X1019"/>
  <c r="Y1019"/>
  <c r="Y1071" s="1"/>
  <c r="Z1019"/>
  <c r="CT1019"/>
  <c r="W1019" s="1"/>
  <c r="AC1019" s="1"/>
  <c r="X1159"/>
  <c r="X1202" s="1"/>
  <c r="Y1159"/>
  <c r="Z1159"/>
  <c r="Z1202" s="1"/>
  <c r="CT1159"/>
  <c r="W1159" s="1"/>
  <c r="Z1412"/>
  <c r="BA1412"/>
  <c r="CI1412"/>
  <c r="CO1412"/>
  <c r="CQ1412"/>
  <c r="CX1412"/>
  <c r="X1412" s="1"/>
  <c r="DA1412"/>
  <c r="DB1412"/>
  <c r="Y1412"/>
  <c r="X1413"/>
  <c r="Y1413"/>
  <c r="Z1413"/>
  <c r="CT1413"/>
  <c r="W1413" s="1"/>
  <c r="AC1413" s="1"/>
  <c r="X1479"/>
  <c r="Y1479"/>
  <c r="Z1479"/>
  <c r="CT1479"/>
  <c r="W1479"/>
  <c r="X1480"/>
  <c r="Y1480"/>
  <c r="Z1480"/>
  <c r="CT1480"/>
  <c r="W1480" s="1"/>
  <c r="AC1480" s="1"/>
  <c r="X1478"/>
  <c r="Y1478"/>
  <c r="Z1478"/>
  <c r="CT1478"/>
  <c r="W1478"/>
  <c r="X971"/>
  <c r="Y971"/>
  <c r="Z971"/>
  <c r="CT971"/>
  <c r="W971"/>
  <c r="X722"/>
  <c r="Y722"/>
  <c r="Z722"/>
  <c r="CT722"/>
  <c r="W722"/>
  <c r="X1160"/>
  <c r="Y1160"/>
  <c r="Z1160"/>
  <c r="CT1160"/>
  <c r="W1160" s="1"/>
  <c r="AC1160" s="1"/>
  <c r="X1481"/>
  <c r="Y1481"/>
  <c r="Z1481"/>
  <c r="CT1481"/>
  <c r="W1481"/>
  <c r="Z1414"/>
  <c r="BA1414"/>
  <c r="CI1414"/>
  <c r="CO1414"/>
  <c r="CQ1414"/>
  <c r="CX1414"/>
  <c r="X1414" s="1"/>
  <c r="DB1414"/>
  <c r="Y1414" s="1"/>
  <c r="X1415"/>
  <c r="Y1415"/>
  <c r="Z1415"/>
  <c r="CT1415"/>
  <c r="W1415"/>
  <c r="X360"/>
  <c r="Y360"/>
  <c r="Z360"/>
  <c r="CT360"/>
  <c r="W360" s="1"/>
  <c r="AC360" s="1"/>
  <c r="X1416"/>
  <c r="Y1416"/>
  <c r="Z1416"/>
  <c r="CT1416"/>
  <c r="W1416"/>
  <c r="X214"/>
  <c r="Y214"/>
  <c r="Y272" s="1"/>
  <c r="Z214"/>
  <c r="CT214"/>
  <c r="W214" s="1"/>
  <c r="AC214" s="1"/>
  <c r="X1208"/>
  <c r="Y1208"/>
  <c r="Z1208"/>
  <c r="CT1208"/>
  <c r="W1208"/>
  <c r="X1209"/>
  <c r="Y1209"/>
  <c r="Z1209"/>
  <c r="CT1209"/>
  <c r="W1209" s="1"/>
  <c r="AC1209" s="1"/>
  <c r="X472"/>
  <c r="Y472"/>
  <c r="Y486" s="1"/>
  <c r="Z472"/>
  <c r="Z486" s="1"/>
  <c r="CT472"/>
  <c r="W472" s="1"/>
  <c r="H974"/>
  <c r="X974"/>
  <c r="Y974"/>
  <c r="Z974"/>
  <c r="Z1016" s="1"/>
  <c r="CT974"/>
  <c r="W974"/>
  <c r="X1072"/>
  <c r="Y1072"/>
  <c r="Z1072"/>
  <c r="CT1072"/>
  <c r="W1072"/>
  <c r="X1206"/>
  <c r="Y1206"/>
  <c r="Z1206"/>
  <c r="CT1206"/>
  <c r="W1206"/>
  <c r="X1207"/>
  <c r="Y1207"/>
  <c r="Z1207"/>
  <c r="CT1207"/>
  <c r="W1207" s="1"/>
  <c r="AC1207" s="1"/>
  <c r="X723"/>
  <c r="Y723"/>
  <c r="Z723"/>
  <c r="CT723"/>
  <c r="W723"/>
  <c r="Y1278"/>
  <c r="Z1278"/>
  <c r="CT1278"/>
  <c r="W1278"/>
  <c r="CX1278"/>
  <c r="X1278" s="1"/>
  <c r="X865"/>
  <c r="Y865"/>
  <c r="Z865"/>
  <c r="CT865"/>
  <c r="W865" s="1"/>
  <c r="AC865" s="1"/>
  <c r="X5"/>
  <c r="X125" s="1"/>
  <c r="Y5"/>
  <c r="Y125" s="1"/>
  <c r="Z5"/>
  <c r="Z125" s="1"/>
  <c r="CT5"/>
  <c r="W5" s="1"/>
  <c r="H510"/>
  <c r="X510"/>
  <c r="Y510"/>
  <c r="Z510"/>
  <c r="CT510"/>
  <c r="W510"/>
  <c r="X215"/>
  <c r="Y215"/>
  <c r="Z215"/>
  <c r="CT215"/>
  <c r="W215" s="1"/>
  <c r="AC215" s="1"/>
  <c r="X724"/>
  <c r="Y724"/>
  <c r="Z724"/>
  <c r="CT724"/>
  <c r="W724"/>
  <c r="H511"/>
  <c r="Y511"/>
  <c r="Z511"/>
  <c r="AY511"/>
  <c r="CI511"/>
  <c r="CX511"/>
  <c r="X511" s="1"/>
  <c r="X512"/>
  <c r="Y512"/>
  <c r="Z512"/>
  <c r="CT512"/>
  <c r="W512"/>
  <c r="H6"/>
  <c r="X6"/>
  <c r="Y6"/>
  <c r="Z6"/>
  <c r="CT6"/>
  <c r="W6" s="1"/>
  <c r="AC6" s="1"/>
  <c r="X866"/>
  <c r="Y866"/>
  <c r="Z866"/>
  <c r="CT866"/>
  <c r="W866"/>
  <c r="X439"/>
  <c r="Y439"/>
  <c r="Z439"/>
  <c r="CT439"/>
  <c r="W439"/>
  <c r="X1418"/>
  <c r="Y1418"/>
  <c r="Z1418"/>
  <c r="CT1418"/>
  <c r="W1418"/>
  <c r="H1419"/>
  <c r="Y1419"/>
  <c r="Z1419"/>
  <c r="AY1419"/>
  <c r="CO1419"/>
  <c r="CQ1419"/>
  <c r="CX1419"/>
  <c r="X1419" s="1"/>
  <c r="X1421"/>
  <c r="Y1421"/>
  <c r="Z1421"/>
  <c r="CT1421"/>
  <c r="W1421"/>
  <c r="X1420"/>
  <c r="Y1420"/>
  <c r="Z1420"/>
  <c r="CT1420"/>
  <c r="W1420" s="1"/>
  <c r="AC1420" s="1"/>
  <c r="X1417"/>
  <c r="Y1417"/>
  <c r="Z1417"/>
  <c r="CT1417"/>
  <c r="W1417"/>
  <c r="X725"/>
  <c r="Y725"/>
  <c r="Z725"/>
  <c r="CT725"/>
  <c r="W725" s="1"/>
  <c r="AC725" s="1"/>
  <c r="X726"/>
  <c r="Y726"/>
  <c r="Z726"/>
  <c r="CT726"/>
  <c r="W726"/>
  <c r="H727"/>
  <c r="I727"/>
  <c r="I826"/>
  <c r="X727"/>
  <c r="Y727"/>
  <c r="Z727"/>
  <c r="CT727"/>
  <c r="W727" s="1"/>
  <c r="AC727" s="1"/>
  <c r="X730"/>
  <c r="Y730"/>
  <c r="Z730"/>
  <c r="CT730"/>
  <c r="W730"/>
  <c r="X734"/>
  <c r="Y734"/>
  <c r="Z734"/>
  <c r="CT734"/>
  <c r="W734" s="1"/>
  <c r="AC734" s="1"/>
  <c r="X735"/>
  <c r="Y735"/>
  <c r="Z735"/>
  <c r="CT735"/>
  <c r="W735"/>
  <c r="X216"/>
  <c r="X272" s="1"/>
  <c r="Y216"/>
  <c r="Z216"/>
  <c r="Z272" s="1"/>
  <c r="CT216"/>
  <c r="W216" s="1"/>
  <c r="AC216" s="1"/>
  <c r="X731"/>
  <c r="Y731"/>
  <c r="Z731"/>
  <c r="CT731"/>
  <c r="W731"/>
  <c r="X1020"/>
  <c r="Y1020"/>
  <c r="Z1020"/>
  <c r="Z1071" s="1"/>
  <c r="CT1020"/>
  <c r="W1020" s="1"/>
  <c r="AC1020" s="1"/>
  <c r="H7"/>
  <c r="H125" s="1"/>
  <c r="X7"/>
  <c r="Y7"/>
  <c r="Z7"/>
  <c r="CT7"/>
  <c r="W7" s="1"/>
  <c r="AC7" s="1"/>
  <c r="X1422"/>
  <c r="Y1422"/>
  <c r="Z1422"/>
  <c r="CT1422"/>
  <c r="W1422"/>
  <c r="X1423"/>
  <c r="Y1423"/>
  <c r="Z1423"/>
  <c r="CT1423"/>
  <c r="W1423" s="1"/>
  <c r="AC1423" s="1"/>
  <c r="X473"/>
  <c r="Y473"/>
  <c r="Z473"/>
  <c r="AA473"/>
  <c r="CT473"/>
  <c r="W473"/>
  <c r="H1482"/>
  <c r="X1482"/>
  <c r="Z1482"/>
  <c r="CT1482"/>
  <c r="W1482" s="1"/>
  <c r="DB1482"/>
  <c r="Y1482" s="1"/>
  <c r="X1483"/>
  <c r="Y1483"/>
  <c r="Z1483"/>
  <c r="CT1483"/>
  <c r="W1483"/>
  <c r="X140"/>
  <c r="Y140"/>
  <c r="Z140"/>
  <c r="CT140"/>
  <c r="W140"/>
  <c r="X728"/>
  <c r="Y728"/>
  <c r="Z728"/>
  <c r="CT728"/>
  <c r="W728"/>
  <c r="X729"/>
  <c r="Y729"/>
  <c r="Z729"/>
  <c r="CT729"/>
  <c r="W729" s="1"/>
  <c r="AC729" s="1"/>
  <c r="X736"/>
  <c r="Y736"/>
  <c r="Z736"/>
  <c r="CT736"/>
  <c r="W736"/>
  <c r="X733"/>
  <c r="Y733"/>
  <c r="Z733"/>
  <c r="CT733"/>
  <c r="W733" s="1"/>
  <c r="X625"/>
  <c r="X674" s="1"/>
  <c r="Y625"/>
  <c r="Y674" s="1"/>
  <c r="Z625"/>
  <c r="Z674" s="1"/>
  <c r="CT625"/>
  <c r="W625" s="1"/>
  <c r="AC625" s="1"/>
  <c r="H732"/>
  <c r="H826" s="1"/>
  <c r="X732"/>
  <c r="Y732"/>
  <c r="Z732"/>
  <c r="CT732"/>
  <c r="W732" s="1"/>
  <c r="X513"/>
  <c r="Y513"/>
  <c r="Z513"/>
  <c r="CT513"/>
  <c r="W513"/>
  <c r="Y976"/>
  <c r="Z976"/>
  <c r="AY976"/>
  <c r="CI976"/>
  <c r="CM976"/>
  <c r="CO976"/>
  <c r="CQ976"/>
  <c r="CX976"/>
  <c r="X976" s="1"/>
  <c r="Y975"/>
  <c r="Y1016" s="1"/>
  <c r="Z975"/>
  <c r="AY975"/>
  <c r="CI975"/>
  <c r="CM975"/>
  <c r="CO975"/>
  <c r="CQ975"/>
  <c r="CX975"/>
  <c r="X975"/>
  <c r="X217"/>
  <c r="Y217"/>
  <c r="Z217"/>
  <c r="CT217"/>
  <c r="W217" s="1"/>
  <c r="X977"/>
  <c r="Y977"/>
  <c r="Z977"/>
  <c r="CT977"/>
  <c r="W977"/>
  <c r="X737"/>
  <c r="Y737"/>
  <c r="Z737"/>
  <c r="CT737"/>
  <c r="W737" s="1"/>
  <c r="AC737" s="1"/>
  <c r="X738"/>
  <c r="Y738"/>
  <c r="Z738"/>
  <c r="CT738"/>
  <c r="W738"/>
  <c r="X739"/>
  <c r="Y739"/>
  <c r="Z739"/>
  <c r="CT739"/>
  <c r="W739" s="1"/>
  <c r="X1424"/>
  <c r="Y1424"/>
  <c r="Z1424"/>
  <c r="CT1424"/>
  <c r="W1424"/>
  <c r="H562"/>
  <c r="H624"/>
  <c r="X562"/>
  <c r="Y562"/>
  <c r="Z562"/>
  <c r="CT562"/>
  <c r="W562"/>
  <c r="X364"/>
  <c r="Y364"/>
  <c r="Z364"/>
  <c r="CT364"/>
  <c r="W364"/>
  <c r="X1073"/>
  <c r="X1149" s="1"/>
  <c r="Y1073"/>
  <c r="Y1149" s="1"/>
  <c r="Z1073"/>
  <c r="Z1149" s="1"/>
  <c r="CT1073"/>
  <c r="W1073" s="1"/>
  <c r="X1021"/>
  <c r="Y1021"/>
  <c r="Z1021"/>
  <c r="CT1021"/>
  <c r="W1021"/>
  <c r="X218"/>
  <c r="Y218"/>
  <c r="Z218"/>
  <c r="CT218"/>
  <c r="W218" s="1"/>
  <c r="X362"/>
  <c r="Y362"/>
  <c r="Z362"/>
  <c r="CT362"/>
  <c r="W362"/>
  <c r="X363"/>
  <c r="Y363"/>
  <c r="Z363"/>
  <c r="CT363"/>
  <c r="W363" s="1"/>
  <c r="AC363" s="1"/>
  <c r="X361"/>
  <c r="Y361"/>
  <c r="Z361"/>
  <c r="CT361"/>
  <c r="W361"/>
  <c r="H8"/>
  <c r="X8"/>
  <c r="Y8"/>
  <c r="Z8"/>
  <c r="CT8"/>
  <c r="W8"/>
  <c r="X219"/>
  <c r="Y219"/>
  <c r="Z219"/>
  <c r="CT219"/>
  <c r="W219" s="1"/>
  <c r="X740"/>
  <c r="Y740"/>
  <c r="Z740"/>
  <c r="CT740"/>
  <c r="W740"/>
  <c r="X220"/>
  <c r="Y220"/>
  <c r="Z220"/>
  <c r="CT220"/>
  <c r="W220" s="1"/>
  <c r="H514"/>
  <c r="Y514"/>
  <c r="Z514"/>
  <c r="BA514"/>
  <c r="CI514"/>
  <c r="CO514"/>
  <c r="CQ514"/>
  <c r="CX514"/>
  <c r="X514"/>
  <c r="X1425"/>
  <c r="Y1425"/>
  <c r="Z1425"/>
  <c r="CT1425"/>
  <c r="W1425" s="1"/>
  <c r="X366"/>
  <c r="Y366"/>
  <c r="Z366"/>
  <c r="CT366"/>
  <c r="W366"/>
  <c r="X365"/>
  <c r="Y365"/>
  <c r="Z365"/>
  <c r="CT365"/>
  <c r="W365" s="1"/>
  <c r="X1426"/>
  <c r="Y1426"/>
  <c r="Z1426"/>
  <c r="CT1426"/>
  <c r="W1426"/>
  <c r="X1279"/>
  <c r="Y1279"/>
  <c r="Y1378" s="1"/>
  <c r="Z1279"/>
  <c r="Z1378" s="1"/>
  <c r="CT1279"/>
  <c r="W1279" s="1"/>
  <c r="H626"/>
  <c r="H674" s="1"/>
  <c r="Z626"/>
  <c r="AY626"/>
  <c r="CT626"/>
  <c r="CX626"/>
  <c r="X626"/>
  <c r="DB626"/>
  <c r="Y626"/>
  <c r="H1022"/>
  <c r="Z1022"/>
  <c r="CO1022"/>
  <c r="CT1022"/>
  <c r="W1022" s="1"/>
  <c r="CX1022"/>
  <c r="X1022" s="1"/>
  <c r="DA1022"/>
  <c r="DB1022"/>
  <c r="Y1022"/>
  <c r="X126"/>
  <c r="Y126"/>
  <c r="Z126"/>
  <c r="CT126"/>
  <c r="W126"/>
  <c r="X141"/>
  <c r="X212" s="1"/>
  <c r="Y141"/>
  <c r="Z141"/>
  <c r="CT141"/>
  <c r="W141"/>
  <c r="X1074"/>
  <c r="Y1074"/>
  <c r="Z1074"/>
  <c r="CT1074"/>
  <c r="W1074" s="1"/>
  <c r="X1075"/>
  <c r="Y1075"/>
  <c r="Z1075"/>
  <c r="CT1075"/>
  <c r="W1075"/>
  <c r="X1484"/>
  <c r="Y1484"/>
  <c r="Z1484"/>
  <c r="CT1484"/>
  <c r="W1484" s="1"/>
  <c r="AC1484" s="1"/>
  <c r="X367"/>
  <c r="Y367"/>
  <c r="Z367"/>
  <c r="CT367"/>
  <c r="W367"/>
  <c r="X1281"/>
  <c r="Y1281"/>
  <c r="Z1281"/>
  <c r="CT1281"/>
  <c r="W1281" s="1"/>
  <c r="X1280"/>
  <c r="Y1280"/>
  <c r="Z1280"/>
  <c r="CT1280"/>
  <c r="W1280"/>
  <c r="X1283"/>
  <c r="Y1283"/>
  <c r="Z1283"/>
  <c r="CT1283"/>
  <c r="W1283" s="1"/>
  <c r="Z1282"/>
  <c r="CO1282"/>
  <c r="CQ1282"/>
  <c r="CX1282"/>
  <c r="X1282"/>
  <c r="DB1282"/>
  <c r="Y1282"/>
  <c r="X1427"/>
  <c r="Y1427"/>
  <c r="Z1427"/>
  <c r="CT1427"/>
  <c r="W1427" s="1"/>
  <c r="X1284"/>
  <c r="Y1284"/>
  <c r="Z1284"/>
  <c r="AB1284"/>
  <c r="AB1378"/>
  <c r="CT1284"/>
  <c r="W1284"/>
  <c r="Y1023"/>
  <c r="Z1023"/>
  <c r="CO1023"/>
  <c r="CT1023"/>
  <c r="W1023" s="1"/>
  <c r="CX1023"/>
  <c r="X1023" s="1"/>
  <c r="X1428"/>
  <c r="Y1428"/>
  <c r="Z1428"/>
  <c r="CT1428"/>
  <c r="W1428"/>
  <c r="X1429"/>
  <c r="Y1429"/>
  <c r="Z1429"/>
  <c r="CT1429"/>
  <c r="W1429" s="1"/>
  <c r="AC1429" s="1"/>
  <c r="H368"/>
  <c r="H438" s="1"/>
  <c r="X368"/>
  <c r="Y368"/>
  <c r="Z368"/>
  <c r="CT368"/>
  <c r="W368" s="1"/>
  <c r="X1379"/>
  <c r="X1407" s="1"/>
  <c r="Z1379"/>
  <c r="Z1407" s="1"/>
  <c r="CT1379"/>
  <c r="W1379" s="1"/>
  <c r="DB1379"/>
  <c r="Y1379"/>
  <c r="Y1407" s="1"/>
  <c r="X9"/>
  <c r="Y9"/>
  <c r="Z9"/>
  <c r="CT9"/>
  <c r="W9"/>
  <c r="X10"/>
  <c r="Y10"/>
  <c r="Z10"/>
  <c r="CT10"/>
  <c r="W10" s="1"/>
  <c r="AC10" s="1"/>
  <c r="X221"/>
  <c r="Y221"/>
  <c r="Z221"/>
  <c r="CT221"/>
  <c r="W221"/>
  <c r="X978"/>
  <c r="Y978"/>
  <c r="Z978"/>
  <c r="CT978"/>
  <c r="W978" s="1"/>
  <c r="AC978" s="1"/>
  <c r="X1430"/>
  <c r="Y1430"/>
  <c r="Z1430"/>
  <c r="CT1430"/>
  <c r="W1430"/>
  <c r="X1485"/>
  <c r="Y1485"/>
  <c r="Z1485"/>
  <c r="CT1485"/>
  <c r="W1485" s="1"/>
  <c r="AC1485" s="1"/>
  <c r="X222"/>
  <c r="Y222"/>
  <c r="Z222"/>
  <c r="CT222"/>
  <c r="W222"/>
  <c r="X142"/>
  <c r="Y142"/>
  <c r="Y212" s="1"/>
  <c r="Z142"/>
  <c r="CT142"/>
  <c r="W142" s="1"/>
  <c r="AC142" s="1"/>
  <c r="X1285"/>
  <c r="Y1285"/>
  <c r="Z1285"/>
  <c r="CT1285"/>
  <c r="W1285"/>
  <c r="X143"/>
  <c r="Y143"/>
  <c r="Z143"/>
  <c r="CT143"/>
  <c r="W143" s="1"/>
  <c r="X474"/>
  <c r="Y474"/>
  <c r="Z474"/>
  <c r="AA474"/>
  <c r="AA486" s="1"/>
  <c r="CT474"/>
  <c r="W474" s="1"/>
  <c r="AC474" s="1"/>
  <c r="X741"/>
  <c r="Y741"/>
  <c r="Z741"/>
  <c r="CT741"/>
  <c r="W741"/>
  <c r="X144"/>
  <c r="Y144"/>
  <c r="Z144"/>
  <c r="CT144"/>
  <c r="W144" s="1"/>
  <c r="AC144" s="1"/>
  <c r="X1151"/>
  <c r="Y1151"/>
  <c r="Z1151"/>
  <c r="CT1151"/>
  <c r="W1151"/>
  <c r="X627"/>
  <c r="Y627"/>
  <c r="Z627"/>
  <c r="CT627"/>
  <c r="W627" s="1"/>
  <c r="AC627" s="1"/>
  <c r="X369"/>
  <c r="Y369"/>
  <c r="Z369"/>
  <c r="CT369"/>
  <c r="W369"/>
  <c r="X145"/>
  <c r="Y145"/>
  <c r="Z145"/>
  <c r="CT145"/>
  <c r="W145" s="1"/>
  <c r="AC145" s="1"/>
  <c r="X223"/>
  <c r="Y223"/>
  <c r="Z223"/>
  <c r="CT223"/>
  <c r="W223"/>
  <c r="X867"/>
  <c r="Y867"/>
  <c r="Z867"/>
  <c r="CT867"/>
  <c r="W867" s="1"/>
  <c r="AC867" s="1"/>
  <c r="X1486"/>
  <c r="Y1486"/>
  <c r="Z1486"/>
  <c r="CT1486"/>
  <c r="W1486"/>
  <c r="X1488"/>
  <c r="Y1488"/>
  <c r="Z1488"/>
  <c r="CT1488"/>
  <c r="W1488" s="1"/>
  <c r="X1487"/>
  <c r="Y1487"/>
  <c r="Z1487"/>
  <c r="CT1487"/>
  <c r="W1487"/>
  <c r="X742"/>
  <c r="Y742"/>
  <c r="Z742"/>
  <c r="CT742"/>
  <c r="W742" s="1"/>
  <c r="X224"/>
  <c r="Y224"/>
  <c r="Z224"/>
  <c r="CT224"/>
  <c r="W224"/>
  <c r="X1024"/>
  <c r="Y1024"/>
  <c r="Z1024"/>
  <c r="CT1024"/>
  <c r="W1024" s="1"/>
  <c r="X1431"/>
  <c r="Y1431"/>
  <c r="Z1431"/>
  <c r="CT1431"/>
  <c r="W1431"/>
  <c r="AC1431" s="1"/>
  <c r="X11"/>
  <c r="Y11"/>
  <c r="Z11"/>
  <c r="CT11"/>
  <c r="W11"/>
  <c r="X1489"/>
  <c r="Y1489"/>
  <c r="Z1489"/>
  <c r="CT1489"/>
  <c r="W1489" s="1"/>
  <c r="AC1489" s="1"/>
  <c r="H12"/>
  <c r="X12"/>
  <c r="Y12"/>
  <c r="Z12"/>
  <c r="CT12"/>
  <c r="W12" s="1"/>
  <c r="AC12" s="1"/>
  <c r="X146"/>
  <c r="Y146"/>
  <c r="AA146"/>
  <c r="AA212" s="1"/>
  <c r="AA1582" s="1"/>
  <c r="CT146"/>
  <c r="W146" s="1"/>
  <c r="CV146"/>
  <c r="Z146" s="1"/>
  <c r="X979"/>
  <c r="Y979"/>
  <c r="Z979"/>
  <c r="CT979"/>
  <c r="W979"/>
  <c r="X1490"/>
  <c r="Y1490"/>
  <c r="Z1490"/>
  <c r="CT1490"/>
  <c r="W1490" s="1"/>
  <c r="Y1025"/>
  <c r="Z1025"/>
  <c r="CT1025"/>
  <c r="W1025" s="1"/>
  <c r="CX1025"/>
  <c r="X1025" s="1"/>
  <c r="X1210"/>
  <c r="Y1210"/>
  <c r="Z1210"/>
  <c r="CT1210"/>
  <c r="W1210"/>
  <c r="X1432"/>
  <c r="Y1432"/>
  <c r="Z1432"/>
  <c r="CT1432"/>
  <c r="W1432" s="1"/>
  <c r="X13"/>
  <c r="Y13"/>
  <c r="Z13"/>
  <c r="CT13"/>
  <c r="W13"/>
  <c r="X1286"/>
  <c r="Y1286"/>
  <c r="Z1286"/>
  <c r="CT1286"/>
  <c r="W1286" s="1"/>
  <c r="X743"/>
  <c r="Y743"/>
  <c r="Z743"/>
  <c r="CT743"/>
  <c r="W743"/>
  <c r="X980"/>
  <c r="Y980"/>
  <c r="Z980"/>
  <c r="CT980"/>
  <c r="W980" s="1"/>
  <c r="X225"/>
  <c r="Y225"/>
  <c r="Z225"/>
  <c r="CT225"/>
  <c r="W225"/>
  <c r="X226"/>
  <c r="Y226"/>
  <c r="Z226"/>
  <c r="CT226"/>
  <c r="W226" s="1"/>
  <c r="AC226" s="1"/>
  <c r="Y1290"/>
  <c r="Z1290"/>
  <c r="CT1290"/>
  <c r="W1290" s="1"/>
  <c r="AC1290" s="1"/>
  <c r="CX1290"/>
  <c r="X1290" s="1"/>
  <c r="X629"/>
  <c r="Y629"/>
  <c r="Z629"/>
  <c r="CT629"/>
  <c r="W629"/>
  <c r="Y1291"/>
  <c r="Z1291"/>
  <c r="CT1291"/>
  <c r="W1291"/>
  <c r="CX1291"/>
  <c r="X1291"/>
  <c r="Y1287"/>
  <c r="Z1287"/>
  <c r="CT1287"/>
  <c r="W1287"/>
  <c r="CX1287"/>
  <c r="X1287"/>
  <c r="Y1295"/>
  <c r="Z1295"/>
  <c r="CT1295"/>
  <c r="W1295"/>
  <c r="CX1295"/>
  <c r="X1295"/>
  <c r="Y1297"/>
  <c r="Z1297"/>
  <c r="CT1297"/>
  <c r="W1297"/>
  <c r="CX1297"/>
  <c r="X1297"/>
  <c r="Y1296"/>
  <c r="Z1296"/>
  <c r="CT1296"/>
  <c r="W1296"/>
  <c r="CX1296"/>
  <c r="X1296"/>
  <c r="Y1298"/>
  <c r="Z1298"/>
  <c r="CT1298"/>
  <c r="W1298"/>
  <c r="CX1298"/>
  <c r="X1298"/>
  <c r="Y1288"/>
  <c r="Z1288"/>
  <c r="CT1288"/>
  <c r="W1288"/>
  <c r="CX1288"/>
  <c r="X1288"/>
  <c r="Y1289"/>
  <c r="Z1289"/>
  <c r="CT1289"/>
  <c r="W1289"/>
  <c r="CX1289"/>
  <c r="X1289"/>
  <c r="Y1294"/>
  <c r="Z1294"/>
  <c r="CT1294"/>
  <c r="W1294"/>
  <c r="CX1294"/>
  <c r="X1294"/>
  <c r="Y1292"/>
  <c r="Z1292"/>
  <c r="CT1292"/>
  <c r="W1292"/>
  <c r="CX1292"/>
  <c r="X1292"/>
  <c r="Y1293"/>
  <c r="Z1293"/>
  <c r="CT1293"/>
  <c r="W1293"/>
  <c r="CX1293"/>
  <c r="X1293"/>
  <c r="X745"/>
  <c r="Y745"/>
  <c r="Z745"/>
  <c r="CT745"/>
  <c r="W745" s="1"/>
  <c r="AC745" s="1"/>
  <c r="X868"/>
  <c r="Y868"/>
  <c r="Z868"/>
  <c r="CT868"/>
  <c r="W868" s="1"/>
  <c r="X746"/>
  <c r="Y746"/>
  <c r="Z746"/>
  <c r="CT746"/>
  <c r="W746"/>
  <c r="X227"/>
  <c r="Y227"/>
  <c r="Z227"/>
  <c r="CT227"/>
  <c r="W227" s="1"/>
  <c r="AC227" s="1"/>
  <c r="X228"/>
  <c r="Y228"/>
  <c r="Z228"/>
  <c r="CT228"/>
  <c r="W228"/>
  <c r="X744"/>
  <c r="Y744"/>
  <c r="Z744"/>
  <c r="CT744"/>
  <c r="W744" s="1"/>
  <c r="AC744" s="1"/>
  <c r="H1433"/>
  <c r="H1476" s="1"/>
  <c r="X1433"/>
  <c r="Y1433"/>
  <c r="Z1433"/>
  <c r="CT1433"/>
  <c r="W1433" s="1"/>
  <c r="AC1433" s="1"/>
  <c r="X1161"/>
  <c r="Y1161"/>
  <c r="Z1161"/>
  <c r="CT1161"/>
  <c r="W1161"/>
  <c r="H1434"/>
  <c r="Y1434"/>
  <c r="Z1434"/>
  <c r="AY1434"/>
  <c r="CO1434"/>
  <c r="CQ1434"/>
  <c r="CX1434"/>
  <c r="X1434"/>
  <c r="X1076"/>
  <c r="Y1076"/>
  <c r="Z1076"/>
  <c r="CT1076"/>
  <c r="W1076" s="1"/>
  <c r="H1491"/>
  <c r="Z1491"/>
  <c r="AY1491"/>
  <c r="CT1491" s="1"/>
  <c r="W1491" s="1"/>
  <c r="CX1491"/>
  <c r="X1491"/>
  <c r="DB1491"/>
  <c r="Y1491"/>
  <c r="Z1492"/>
  <c r="AY1492"/>
  <c r="CX1492"/>
  <c r="X1492"/>
  <c r="DB1492"/>
  <c r="Y1492"/>
  <c r="H1211"/>
  <c r="H1277"/>
  <c r="X1211"/>
  <c r="Y1211"/>
  <c r="Z1211"/>
  <c r="CT1211"/>
  <c r="W1211" s="1"/>
  <c r="H490"/>
  <c r="H508" s="1"/>
  <c r="X490"/>
  <c r="Y490"/>
  <c r="Z490"/>
  <c r="CT490"/>
  <c r="W490"/>
  <c r="X488"/>
  <c r="Y488"/>
  <c r="Z488"/>
  <c r="CT488"/>
  <c r="W488" s="1"/>
  <c r="X489"/>
  <c r="Y489"/>
  <c r="Z489"/>
  <c r="CT489"/>
  <c r="W489"/>
  <c r="H1498"/>
  <c r="Z1498"/>
  <c r="AY1498"/>
  <c r="CT1498"/>
  <c r="W1498" s="1"/>
  <c r="CX1498"/>
  <c r="X1498" s="1"/>
  <c r="DB1498"/>
  <c r="Y1498" s="1"/>
  <c r="H1494"/>
  <c r="Z1494"/>
  <c r="AY1494"/>
  <c r="CT1494" s="1"/>
  <c r="W1494" s="1"/>
  <c r="CX1494"/>
  <c r="X1494"/>
  <c r="DB1494"/>
  <c r="Y1494"/>
  <c r="H1495"/>
  <c r="Z1495"/>
  <c r="AY1495"/>
  <c r="CT1495"/>
  <c r="W1495" s="1"/>
  <c r="CX1495"/>
  <c r="X1495" s="1"/>
  <c r="DB1495"/>
  <c r="Y1495" s="1"/>
  <c r="X1496"/>
  <c r="Y1496"/>
  <c r="Z1496"/>
  <c r="CT1496"/>
  <c r="W1496"/>
  <c r="X1212"/>
  <c r="Y1212"/>
  <c r="Z1212"/>
  <c r="CT1212"/>
  <c r="W1212" s="1"/>
  <c r="X492"/>
  <c r="Y492"/>
  <c r="Z492"/>
  <c r="CT492"/>
  <c r="W492"/>
  <c r="X491"/>
  <c r="Y491"/>
  <c r="Z491"/>
  <c r="CT491"/>
  <c r="W491" s="1"/>
  <c r="AC491" s="1"/>
  <c r="Z1497"/>
  <c r="AY1497"/>
  <c r="CT1497"/>
  <c r="W1497" s="1"/>
  <c r="CX1497"/>
  <c r="X1497" s="1"/>
  <c r="DB1497"/>
  <c r="Y1497" s="1"/>
  <c r="X1299"/>
  <c r="Y1299"/>
  <c r="Z1299"/>
  <c r="CT1299"/>
  <c r="W1299"/>
  <c r="X1213"/>
  <c r="Y1213"/>
  <c r="Z1213"/>
  <c r="CT1213"/>
  <c r="W1213" s="1"/>
  <c r="AC1213" s="1"/>
  <c r="X675"/>
  <c r="Y675"/>
  <c r="CT675"/>
  <c r="W675"/>
  <c r="CU675"/>
  <c r="CV675"/>
  <c r="Z675"/>
  <c r="Z718" s="1"/>
  <c r="H747"/>
  <c r="X747"/>
  <c r="Y747"/>
  <c r="Z747"/>
  <c r="CT747"/>
  <c r="W747" s="1"/>
  <c r="AC747" s="1"/>
  <c r="H475"/>
  <c r="H486" s="1"/>
  <c r="T475"/>
  <c r="T486" s="1"/>
  <c r="T1582" s="1"/>
  <c r="Y475"/>
  <c r="Z475"/>
  <c r="BA475"/>
  <c r="CI475"/>
  <c r="CO475"/>
  <c r="CQ475"/>
  <c r="CX475"/>
  <c r="X475" s="1"/>
  <c r="X1214"/>
  <c r="Y1214"/>
  <c r="Z1214"/>
  <c r="CT1214"/>
  <c r="W1214"/>
  <c r="Y516"/>
  <c r="Z516"/>
  <c r="CI516"/>
  <c r="CO516"/>
  <c r="CQ516"/>
  <c r="CX516"/>
  <c r="X516" s="1"/>
  <c r="X370"/>
  <c r="Y370"/>
  <c r="Z370"/>
  <c r="CT370"/>
  <c r="W370"/>
  <c r="Y476"/>
  <c r="Z476"/>
  <c r="AY476"/>
  <c r="AZ476"/>
  <c r="BA476"/>
  <c r="CH476"/>
  <c r="CI476"/>
  <c r="CN476"/>
  <c r="CO476"/>
  <c r="CP476"/>
  <c r="CQ476"/>
  <c r="CW476"/>
  <c r="CX476"/>
  <c r="X476"/>
  <c r="H273"/>
  <c r="X273"/>
  <c r="Z273"/>
  <c r="CT273"/>
  <c r="W273"/>
  <c r="DB273"/>
  <c r="Y273" s="1"/>
  <c r="Y1301"/>
  <c r="Z1301"/>
  <c r="CT1301"/>
  <c r="W1301"/>
  <c r="CX1301"/>
  <c r="X1301"/>
  <c r="Y1302"/>
  <c r="Z1302"/>
  <c r="CT1302"/>
  <c r="W1302"/>
  <c r="CX1302"/>
  <c r="X1302"/>
  <c r="Y1300"/>
  <c r="Z1300"/>
  <c r="CT1300"/>
  <c r="W1300"/>
  <c r="CX1300"/>
  <c r="X1300"/>
  <c r="X229"/>
  <c r="Y229"/>
  <c r="Z229"/>
  <c r="CT229"/>
  <c r="W229" s="1"/>
  <c r="X230"/>
  <c r="Y230"/>
  <c r="Z230"/>
  <c r="CT230"/>
  <c r="W230"/>
  <c r="X477"/>
  <c r="Y477"/>
  <c r="Z477"/>
  <c r="CT477"/>
  <c r="W477" s="1"/>
  <c r="X231"/>
  <c r="Y231"/>
  <c r="Z231"/>
  <c r="CT231"/>
  <c r="W231"/>
  <c r="X14"/>
  <c r="Y14"/>
  <c r="Z14"/>
  <c r="CT14"/>
  <c r="W14" s="1"/>
  <c r="AC14" s="1"/>
  <c r="X1436"/>
  <c r="Y1436"/>
  <c r="Z1436"/>
  <c r="CT1436"/>
  <c r="W1436"/>
  <c r="H1435"/>
  <c r="Z1435"/>
  <c r="AY1435"/>
  <c r="CO1435"/>
  <c r="CQ1435"/>
  <c r="CX1435"/>
  <c r="X1435" s="1"/>
  <c r="DB1435"/>
  <c r="Y1435" s="1"/>
  <c r="X1438"/>
  <c r="Y1438"/>
  <c r="Z1438"/>
  <c r="CT1438"/>
  <c r="W1438"/>
  <c r="X232"/>
  <c r="Y232"/>
  <c r="Z232"/>
  <c r="CT232"/>
  <c r="W232" s="1"/>
  <c r="H1437"/>
  <c r="Z1437"/>
  <c r="AY1437"/>
  <c r="CO1437"/>
  <c r="CQ1437"/>
  <c r="CX1437"/>
  <c r="X1437"/>
  <c r="DB1437"/>
  <c r="Y1437"/>
  <c r="X517"/>
  <c r="Y517"/>
  <c r="Z517"/>
  <c r="X478"/>
  <c r="Y478"/>
  <c r="Z478"/>
  <c r="CT478"/>
  <c r="W478"/>
  <c r="X274"/>
  <c r="Y274"/>
  <c r="Z274"/>
  <c r="CT274"/>
  <c r="W274" s="1"/>
  <c r="AC274" s="1"/>
  <c r="X748"/>
  <c r="Y748"/>
  <c r="Z748"/>
  <c r="CT748"/>
  <c r="W748"/>
  <c r="X3"/>
  <c r="Y3"/>
  <c r="Z3"/>
  <c r="CT3"/>
  <c r="W3" s="1"/>
  <c r="W4" s="1"/>
  <c r="X749"/>
  <c r="Y749"/>
  <c r="Z749"/>
  <c r="CT749"/>
  <c r="W749"/>
  <c r="X1077"/>
  <c r="Y1077"/>
  <c r="Z1077"/>
  <c r="CT1077"/>
  <c r="W1077" s="1"/>
  <c r="X563"/>
  <c r="X624" s="1"/>
  <c r="Y563"/>
  <c r="Y624" s="1"/>
  <c r="Z563"/>
  <c r="Z624" s="1"/>
  <c r="CT563"/>
  <c r="W563"/>
  <c r="X564"/>
  <c r="Y564"/>
  <c r="Z564"/>
  <c r="H630"/>
  <c r="Y630"/>
  <c r="Z630"/>
  <c r="CT630"/>
  <c r="W630"/>
  <c r="CX630"/>
  <c r="X630"/>
  <c r="Y913"/>
  <c r="BK913"/>
  <c r="CO913"/>
  <c r="CQ913"/>
  <c r="CV913"/>
  <c r="Z913" s="1"/>
  <c r="Z970" s="1"/>
  <c r="CX913"/>
  <c r="X913"/>
  <c r="X970" s="1"/>
  <c r="X1215"/>
  <c r="Y1215"/>
  <c r="Z1215"/>
  <c r="CT1215"/>
  <c r="W1215"/>
  <c r="X147"/>
  <c r="Y147"/>
  <c r="Z147"/>
  <c r="CT147"/>
  <c r="W147" s="1"/>
  <c r="X233"/>
  <c r="Y233"/>
  <c r="Z233"/>
  <c r="CT233"/>
  <c r="W233"/>
  <c r="X829"/>
  <c r="Y829"/>
  <c r="Z829"/>
  <c r="CT829"/>
  <c r="W829" s="1"/>
  <c r="X827"/>
  <c r="X861" s="1"/>
  <c r="Y827"/>
  <c r="Y861" s="1"/>
  <c r="Z827"/>
  <c r="Z861" s="1"/>
  <c r="CT827"/>
  <c r="W827" s="1"/>
  <c r="X981"/>
  <c r="Y981"/>
  <c r="Z981"/>
  <c r="CT981"/>
  <c r="W981" s="1"/>
  <c r="X494"/>
  <c r="Y494"/>
  <c r="Z494"/>
  <c r="CT494"/>
  <c r="W494"/>
  <c r="X440"/>
  <c r="X471" s="1"/>
  <c r="Y440"/>
  <c r="Y471" s="1"/>
  <c r="Z440"/>
  <c r="Z471" s="1"/>
  <c r="CT440"/>
  <c r="W440" s="1"/>
  <c r="X1078"/>
  <c r="Y1078"/>
  <c r="Z1078"/>
  <c r="CT1078"/>
  <c r="W1078"/>
  <c r="X565"/>
  <c r="Y565"/>
  <c r="Z565"/>
  <c r="CT565"/>
  <c r="W565" s="1"/>
  <c r="X234"/>
  <c r="Y234"/>
  <c r="Z234"/>
  <c r="CT234"/>
  <c r="W234"/>
  <c r="X495"/>
  <c r="Y495"/>
  <c r="Z495"/>
  <c r="CT495"/>
  <c r="W495" s="1"/>
  <c r="X982"/>
  <c r="Y982"/>
  <c r="Z982"/>
  <c r="CT982"/>
  <c r="W982"/>
  <c r="X493"/>
  <c r="Y493"/>
  <c r="Z493"/>
  <c r="CT493"/>
  <c r="W493" s="1"/>
  <c r="X441"/>
  <c r="Y441"/>
  <c r="Z441"/>
  <c r="CT441"/>
  <c r="W441"/>
  <c r="X1304"/>
  <c r="Y1304"/>
  <c r="Z1304"/>
  <c r="CT1304"/>
  <c r="W1304" s="1"/>
  <c r="AC1304" s="1"/>
  <c r="X1303"/>
  <c r="Y1303"/>
  <c r="Z1303"/>
  <c r="CT1303"/>
  <c r="W1303"/>
  <c r="X1440"/>
  <c r="Y1440"/>
  <c r="Z1440"/>
  <c r="CT1440"/>
  <c r="W1440" s="1"/>
  <c r="X566"/>
  <c r="Y566"/>
  <c r="Z566"/>
  <c r="CT566"/>
  <c r="W566"/>
  <c r="X567"/>
  <c r="Y567"/>
  <c r="Z567"/>
  <c r="CT567"/>
  <c r="W567" s="1"/>
  <c r="X235"/>
  <c r="Y235"/>
  <c r="Z235"/>
  <c r="CT235"/>
  <c r="W235"/>
  <c r="X830"/>
  <c r="Y830"/>
  <c r="Z830"/>
  <c r="CT830"/>
  <c r="W830" s="1"/>
  <c r="AC830" s="1"/>
  <c r="X1439"/>
  <c r="Y1439"/>
  <c r="Z1439"/>
  <c r="CT1439"/>
  <c r="W1439"/>
  <c r="X828"/>
  <c r="Y828"/>
  <c r="Z828"/>
  <c r="CT828"/>
  <c r="W828" s="1"/>
  <c r="AC828" s="1"/>
  <c r="X15"/>
  <c r="Y15"/>
  <c r="Z15"/>
  <c r="CT15"/>
  <c r="W15"/>
  <c r="X16"/>
  <c r="Y16"/>
  <c r="Z16"/>
  <c r="CT16"/>
  <c r="W16" s="1"/>
  <c r="AC16" s="1"/>
  <c r="X17"/>
  <c r="Y17"/>
  <c r="Z17"/>
  <c r="CT17"/>
  <c r="W17"/>
  <c r="H479"/>
  <c r="X479"/>
  <c r="Y479"/>
  <c r="Z479"/>
  <c r="CT479"/>
  <c r="W479"/>
  <c r="X750"/>
  <c r="Y750"/>
  <c r="Z750"/>
  <c r="CT750"/>
  <c r="W750" s="1"/>
  <c r="AC750" s="1"/>
  <c r="X18"/>
  <c r="Y18"/>
  <c r="Z18"/>
  <c r="CT18"/>
  <c r="W18"/>
  <c r="X371"/>
  <c r="Y371"/>
  <c r="Z371"/>
  <c r="CT371"/>
  <c r="W371" s="1"/>
  <c r="AC371" s="1"/>
  <c r="X751"/>
  <c r="Y751"/>
  <c r="Z751"/>
  <c r="CT751"/>
  <c r="W751"/>
  <c r="X1305"/>
  <c r="Y1305"/>
  <c r="Z1305"/>
  <c r="CT1305"/>
  <c r="W1305" s="1"/>
  <c r="AC1305" s="1"/>
  <c r="X1216"/>
  <c r="Y1216"/>
  <c r="Z1216"/>
  <c r="CT1216"/>
  <c r="W1216"/>
  <c r="H275"/>
  <c r="H355" s="1"/>
  <c r="X275"/>
  <c r="X355" s="1"/>
  <c r="Y275"/>
  <c r="Z275"/>
  <c r="Z355" s="1"/>
  <c r="CT275"/>
  <c r="W275"/>
  <c r="DA275"/>
  <c r="X1306"/>
  <c r="Y1306"/>
  <c r="Z1306"/>
  <c r="CT1306"/>
  <c r="W1306"/>
  <c r="X148"/>
  <c r="Y148"/>
  <c r="Z148"/>
  <c r="CT148"/>
  <c r="W148" s="1"/>
  <c r="X19"/>
  <c r="Y19"/>
  <c r="Z19"/>
  <c r="CT19"/>
  <c r="W19"/>
  <c r="X631"/>
  <c r="Y631"/>
  <c r="Z631"/>
  <c r="CT631"/>
  <c r="W631" s="1"/>
  <c r="AC631" s="1"/>
  <c r="X20"/>
  <c r="Y20"/>
  <c r="Z20"/>
  <c r="CT20"/>
  <c r="W20"/>
  <c r="X870"/>
  <c r="Y870"/>
  <c r="Z870"/>
  <c r="CT870"/>
  <c r="W870" s="1"/>
  <c r="X676"/>
  <c r="Y676"/>
  <c r="Y718" s="1"/>
  <c r="Z676"/>
  <c r="CT676"/>
  <c r="W676"/>
  <c r="X753"/>
  <c r="Y753"/>
  <c r="Z753"/>
  <c r="CT753"/>
  <c r="W753" s="1"/>
  <c r="X633"/>
  <c r="Y633"/>
  <c r="Z633"/>
  <c r="CT633"/>
  <c r="W633"/>
  <c r="X149"/>
  <c r="Y149"/>
  <c r="Z149"/>
  <c r="CT149"/>
  <c r="W149" s="1"/>
  <c r="AC149" s="1"/>
  <c r="X150"/>
  <c r="Y150"/>
  <c r="Z150"/>
  <c r="CT150"/>
  <c r="W150"/>
  <c r="X914"/>
  <c r="CM914"/>
  <c r="CV914"/>
  <c r="Z914"/>
  <c r="X869"/>
  <c r="Y869"/>
  <c r="Z869"/>
  <c r="CT869"/>
  <c r="W869" s="1"/>
  <c r="AC869" s="1"/>
  <c r="X372"/>
  <c r="Y372"/>
  <c r="Z372"/>
  <c r="CT372"/>
  <c r="W372"/>
  <c r="X373"/>
  <c r="Y373"/>
  <c r="Z373"/>
  <c r="CT373"/>
  <c r="W373" s="1"/>
  <c r="H632"/>
  <c r="X632"/>
  <c r="Z632"/>
  <c r="CT632"/>
  <c r="W632"/>
  <c r="DB632"/>
  <c r="Y632"/>
  <c r="X634"/>
  <c r="Y634"/>
  <c r="Z634"/>
  <c r="CT634"/>
  <c r="W634" s="1"/>
  <c r="X983"/>
  <c r="Y983"/>
  <c r="Z983"/>
  <c r="CT983"/>
  <c r="W983"/>
  <c r="X1441"/>
  <c r="Y1441"/>
  <c r="Z1441"/>
  <c r="CT1441"/>
  <c r="W1441" s="1"/>
  <c r="AC1441" s="1"/>
  <c r="H276"/>
  <c r="X276"/>
  <c r="CT276"/>
  <c r="W276" s="1"/>
  <c r="DB276"/>
  <c r="Y276" s="1"/>
  <c r="X754"/>
  <c r="Y754"/>
  <c r="Z754"/>
  <c r="CT754"/>
  <c r="W754"/>
  <c r="X569"/>
  <c r="Y569"/>
  <c r="Z569"/>
  <c r="CT569"/>
  <c r="W569" s="1"/>
  <c r="X871"/>
  <c r="Y871"/>
  <c r="Z871"/>
  <c r="CT871"/>
  <c r="W871"/>
  <c r="X277"/>
  <c r="Y277"/>
  <c r="Z277"/>
  <c r="CT277"/>
  <c r="W277" s="1"/>
  <c r="X480"/>
  <c r="Y480"/>
  <c r="Z480"/>
  <c r="CT480"/>
  <c r="W480"/>
  <c r="X278"/>
  <c r="Y278"/>
  <c r="Z278"/>
  <c r="CT278"/>
  <c r="W278" s="1"/>
  <c r="X21"/>
  <c r="Y21"/>
  <c r="Z21"/>
  <c r="CT21"/>
  <c r="W21"/>
  <c r="X151"/>
  <c r="Y151"/>
  <c r="Z151"/>
  <c r="CT151"/>
  <c r="W151" s="1"/>
  <c r="AC151" s="1"/>
  <c r="X481"/>
  <c r="Y481"/>
  <c r="Z481"/>
  <c r="CT481"/>
  <c r="W481"/>
  <c r="X496"/>
  <c r="Y496"/>
  <c r="Z496"/>
  <c r="CT496"/>
  <c r="W496" s="1"/>
  <c r="Z1219"/>
  <c r="CT1219"/>
  <c r="W1219"/>
  <c r="CX1219"/>
  <c r="X1219"/>
  <c r="DA1219"/>
  <c r="DB1219"/>
  <c r="Y1219" s="1"/>
  <c r="X1217"/>
  <c r="Z1217"/>
  <c r="AY1217"/>
  <c r="CG1217"/>
  <c r="CI1217"/>
  <c r="DB1217"/>
  <c r="Y1217"/>
  <c r="X1220"/>
  <c r="Y1220"/>
  <c r="Z1220"/>
  <c r="CT1220"/>
  <c r="W1220" s="1"/>
  <c r="X1218"/>
  <c r="Y1218"/>
  <c r="Z1218"/>
  <c r="CT1218"/>
  <c r="W1218"/>
  <c r="H279"/>
  <c r="X279"/>
  <c r="Z279"/>
  <c r="CT279"/>
  <c r="W279" s="1"/>
  <c r="DA279"/>
  <c r="DB279"/>
  <c r="Y279"/>
  <c r="X236"/>
  <c r="Y236"/>
  <c r="Z236"/>
  <c r="CT236"/>
  <c r="W236" s="1"/>
  <c r="AC236" s="1"/>
  <c r="X1499"/>
  <c r="Y1499"/>
  <c r="Z1499"/>
  <c r="CT1499"/>
  <c r="W1499"/>
  <c r="X22"/>
  <c r="Y22"/>
  <c r="Z22"/>
  <c r="CT22"/>
  <c r="W22" s="1"/>
  <c r="X1442"/>
  <c r="Y1442"/>
  <c r="Z1442"/>
  <c r="CT1442"/>
  <c r="W1442"/>
  <c r="X984"/>
  <c r="Y984"/>
  <c r="Z984"/>
  <c r="CT984"/>
  <c r="W984" s="1"/>
  <c r="Y677"/>
  <c r="Z677"/>
  <c r="AY677"/>
  <c r="BY677"/>
  <c r="CI677"/>
  <c r="CO677"/>
  <c r="CQ677"/>
  <c r="CX677"/>
  <c r="X677"/>
  <c r="X23"/>
  <c r="Y23"/>
  <c r="Z23"/>
  <c r="CT23"/>
  <c r="W23" s="1"/>
  <c r="AC23" s="1"/>
  <c r="X635"/>
  <c r="Y635"/>
  <c r="Z635"/>
  <c r="CT635"/>
  <c r="W635"/>
  <c r="X678"/>
  <c r="Y678"/>
  <c r="Z678"/>
  <c r="CT678"/>
  <c r="W678" s="1"/>
  <c r="X684"/>
  <c r="Y684"/>
  <c r="Z684"/>
  <c r="X685"/>
  <c r="Y685"/>
  <c r="Z685"/>
  <c r="X679"/>
  <c r="Y679"/>
  <c r="Z679"/>
  <c r="CT679"/>
  <c r="W679"/>
  <c r="X985"/>
  <c r="Y985"/>
  <c r="Z985"/>
  <c r="CT985"/>
  <c r="W985" s="1"/>
  <c r="AC985" s="1"/>
  <c r="X1221"/>
  <c r="Y1221"/>
  <c r="Z1221"/>
  <c r="CT1221"/>
  <c r="W1221"/>
  <c r="X280"/>
  <c r="Y280"/>
  <c r="Z280"/>
  <c r="CT280"/>
  <c r="W280" s="1"/>
  <c r="AC280" s="1"/>
  <c r="X1443"/>
  <c r="Y1443"/>
  <c r="Z1443"/>
  <c r="CT1443"/>
  <c r="W1443"/>
  <c r="X680"/>
  <c r="Y680"/>
  <c r="Z680"/>
  <c r="CT680"/>
  <c r="W680" s="1"/>
  <c r="AC680" s="1"/>
  <c r="H1380"/>
  <c r="X1380"/>
  <c r="Y1380"/>
  <c r="Z1380"/>
  <c r="CT1380"/>
  <c r="W1380" s="1"/>
  <c r="AC1380" s="1"/>
  <c r="Y24"/>
  <c r="Z24"/>
  <c r="AY24"/>
  <c r="CO24"/>
  <c r="CQ24"/>
  <c r="CX24"/>
  <c r="X24"/>
  <c r="X374"/>
  <c r="Y374"/>
  <c r="Z374"/>
  <c r="CT374"/>
  <c r="W374" s="1"/>
  <c r="AC374" s="1"/>
  <c r="X376"/>
  <c r="Y376"/>
  <c r="Z376"/>
  <c r="CT376"/>
  <c r="W376"/>
  <c r="X152"/>
  <c r="Y152"/>
  <c r="Z152"/>
  <c r="CT152"/>
  <c r="W152" s="1"/>
  <c r="AC152" s="1"/>
  <c r="X153"/>
  <c r="Y153"/>
  <c r="Z153"/>
  <c r="CT153"/>
  <c r="W153"/>
  <c r="X1222"/>
  <c r="Y1222"/>
  <c r="Z1222"/>
  <c r="CT1222"/>
  <c r="W1222" s="1"/>
  <c r="X1223"/>
  <c r="Y1223"/>
  <c r="Z1223"/>
  <c r="CT1223"/>
  <c r="W1223"/>
  <c r="X872"/>
  <c r="Y872"/>
  <c r="Z872"/>
  <c r="CT872"/>
  <c r="W872" s="1"/>
  <c r="AC872" s="1"/>
  <c r="X1501"/>
  <c r="Y1501"/>
  <c r="Z1501"/>
  <c r="CT1501"/>
  <c r="W1501"/>
  <c r="X375"/>
  <c r="Y375"/>
  <c r="Z375"/>
  <c r="CT375"/>
  <c r="W375" s="1"/>
  <c r="AC375" s="1"/>
  <c r="X915"/>
  <c r="Y915"/>
  <c r="Z915"/>
  <c r="CT915"/>
  <c r="W915"/>
  <c r="X918"/>
  <c r="Y918"/>
  <c r="Z918"/>
  <c r="CT918"/>
  <c r="W918" s="1"/>
  <c r="AC918" s="1"/>
  <c r="X831"/>
  <c r="Y831"/>
  <c r="Z831"/>
  <c r="CT831"/>
  <c r="W831"/>
  <c r="X1500"/>
  <c r="Y1500"/>
  <c r="Z1500"/>
  <c r="CT1500"/>
  <c r="W1500" s="1"/>
  <c r="X281"/>
  <c r="Y281"/>
  <c r="Z281"/>
  <c r="CT281"/>
  <c r="W281"/>
  <c r="X873"/>
  <c r="Y873"/>
  <c r="Z873"/>
  <c r="CT873"/>
  <c r="W873" s="1"/>
  <c r="X755"/>
  <c r="Y755"/>
  <c r="Z755"/>
  <c r="CT755"/>
  <c r="W755"/>
  <c r="X237"/>
  <c r="Y237"/>
  <c r="Z237"/>
  <c r="CT237"/>
  <c r="W237" s="1"/>
  <c r="X571"/>
  <c r="Y571"/>
  <c r="Z571"/>
  <c r="CT571"/>
  <c r="W571"/>
  <c r="X1381"/>
  <c r="Y1381"/>
  <c r="Z1381"/>
  <c r="CT1381"/>
  <c r="W1381" s="1"/>
  <c r="X289"/>
  <c r="Y289"/>
  <c r="Z289"/>
  <c r="CT289"/>
  <c r="W289"/>
  <c r="AC289" s="1"/>
  <c r="X282"/>
  <c r="Y282"/>
  <c r="Z282"/>
  <c r="CT282"/>
  <c r="W282"/>
  <c r="X296"/>
  <c r="Y296"/>
  <c r="Z296"/>
  <c r="CT296"/>
  <c r="W296" s="1"/>
  <c r="X25"/>
  <c r="Y25"/>
  <c r="Z25"/>
  <c r="CT25"/>
  <c r="W25"/>
  <c r="X377"/>
  <c r="Y377"/>
  <c r="Z377"/>
  <c r="CT377"/>
  <c r="W377" s="1"/>
  <c r="AC377" s="1"/>
  <c r="X497"/>
  <c r="Y497"/>
  <c r="Z497"/>
  <c r="CT497"/>
  <c r="W497"/>
  <c r="X26"/>
  <c r="Y26"/>
  <c r="Z26"/>
  <c r="CT26"/>
  <c r="W26" s="1"/>
  <c r="X1444"/>
  <c r="Y1444"/>
  <c r="Z1444"/>
  <c r="CT1444"/>
  <c r="W1444"/>
  <c r="X519"/>
  <c r="Y519"/>
  <c r="Z519"/>
  <c r="CT519"/>
  <c r="W519" s="1"/>
  <c r="X986"/>
  <c r="Y986"/>
  <c r="Z986"/>
  <c r="CT986"/>
  <c r="W986"/>
  <c r="X987"/>
  <c r="Y987"/>
  <c r="Z987"/>
  <c r="CT987"/>
  <c r="W987" s="1"/>
  <c r="X283"/>
  <c r="Y283"/>
  <c r="CT283"/>
  <c r="W283" s="1"/>
  <c r="Z283"/>
  <c r="X572"/>
  <c r="Y572"/>
  <c r="Z572"/>
  <c r="CT572"/>
  <c r="W572" s="1"/>
  <c r="AC572" s="1"/>
  <c r="X27"/>
  <c r="Y27"/>
  <c r="Z27"/>
  <c r="CT27"/>
  <c r="W27"/>
  <c r="X1224"/>
  <c r="Y1224"/>
  <c r="Z1224"/>
  <c r="CT1224"/>
  <c r="W1224" s="1"/>
  <c r="X29"/>
  <c r="Y29"/>
  <c r="Z29"/>
  <c r="CT29"/>
  <c r="W29"/>
  <c r="X28"/>
  <c r="Y28"/>
  <c r="Z28"/>
  <c r="CT28"/>
  <c r="W28" s="1"/>
  <c r="X31"/>
  <c r="Y31"/>
  <c r="Z31"/>
  <c r="CT31"/>
  <c r="W31"/>
  <c r="X30"/>
  <c r="Y30"/>
  <c r="Z30"/>
  <c r="CT30"/>
  <c r="W30" s="1"/>
  <c r="X521"/>
  <c r="Y521"/>
  <c r="Z521"/>
  <c r="CT521"/>
  <c r="W521"/>
  <c r="X988"/>
  <c r="Y988"/>
  <c r="Z988"/>
  <c r="CT988"/>
  <c r="W988" s="1"/>
  <c r="AC988" s="1"/>
  <c r="X681"/>
  <c r="Y681"/>
  <c r="Z681"/>
  <c r="CT681"/>
  <c r="W681"/>
  <c r="X238"/>
  <c r="Y238"/>
  <c r="Z238"/>
  <c r="CT238"/>
  <c r="W238" s="1"/>
  <c r="AC238" s="1"/>
  <c r="X1080"/>
  <c r="Y1080"/>
  <c r="Z1080"/>
  <c r="CT1080"/>
  <c r="W1080"/>
  <c r="X498"/>
  <c r="Y498"/>
  <c r="Z498"/>
  <c r="CT498"/>
  <c r="W498" s="1"/>
  <c r="H1163"/>
  <c r="H1202" s="1"/>
  <c r="X1163"/>
  <c r="Z1163"/>
  <c r="AY1163"/>
  <c r="CT1163" s="1"/>
  <c r="W1163" s="1"/>
  <c r="DA1163"/>
  <c r="DB1163"/>
  <c r="Y1163" s="1"/>
  <c r="X1162"/>
  <c r="Z1162"/>
  <c r="AY1162"/>
  <c r="CT1162" s="1"/>
  <c r="W1162" s="1"/>
  <c r="DA1162"/>
  <c r="DB1162"/>
  <c r="Y1162" s="1"/>
  <c r="X1307"/>
  <c r="Y1307"/>
  <c r="Z1307"/>
  <c r="CT1307"/>
  <c r="W1307"/>
  <c r="H1164"/>
  <c r="X1164"/>
  <c r="Z1164"/>
  <c r="AY1164"/>
  <c r="CT1164" s="1"/>
  <c r="W1164" s="1"/>
  <c r="DA1164"/>
  <c r="DB1164"/>
  <c r="Y1164" s="1"/>
  <c r="X284"/>
  <c r="Y284"/>
  <c r="Z284"/>
  <c r="CT284"/>
  <c r="W284"/>
  <c r="X834"/>
  <c r="Y834"/>
  <c r="Z834"/>
  <c r="CT834"/>
  <c r="W834" s="1"/>
  <c r="X127"/>
  <c r="X139" s="1"/>
  <c r="Y127"/>
  <c r="Y139" s="1"/>
  <c r="Z127"/>
  <c r="Z139" s="1"/>
  <c r="CT127"/>
  <c r="W127"/>
  <c r="X154"/>
  <c r="Y154"/>
  <c r="Z154"/>
  <c r="CT154"/>
  <c r="W154" s="1"/>
  <c r="X155"/>
  <c r="Y155"/>
  <c r="Z155"/>
  <c r="CT155"/>
  <c r="W155"/>
  <c r="X1502"/>
  <c r="Y1502"/>
  <c r="Z1502"/>
  <c r="CT1502"/>
  <c r="W1502" s="1"/>
  <c r="X1026"/>
  <c r="Y1026"/>
  <c r="Z1026"/>
  <c r="CT1026"/>
  <c r="W1026"/>
  <c r="X1027"/>
  <c r="Y1027"/>
  <c r="Z1027"/>
  <c r="CT1027"/>
  <c r="W1027" s="1"/>
  <c r="X156"/>
  <c r="Y156"/>
  <c r="Z156"/>
  <c r="CT156"/>
  <c r="W156"/>
  <c r="X756"/>
  <c r="Y756"/>
  <c r="Z756"/>
  <c r="CT756"/>
  <c r="W756" s="1"/>
  <c r="AC756" s="1"/>
  <c r="Y573"/>
  <c r="Z573"/>
  <c r="CT573"/>
  <c r="W573" s="1"/>
  <c r="X757"/>
  <c r="Y757"/>
  <c r="Z757"/>
  <c r="AU757"/>
  <c r="AY757"/>
  <c r="BA757"/>
  <c r="CO757"/>
  <c r="CQ757"/>
  <c r="X239"/>
  <c r="Y239"/>
  <c r="Z239"/>
  <c r="CT239"/>
  <c r="W239"/>
  <c r="X1445"/>
  <c r="Y1445"/>
  <c r="Z1445"/>
  <c r="CT1445"/>
  <c r="W1445" s="1"/>
  <c r="X285"/>
  <c r="Y285"/>
  <c r="Z285"/>
  <c r="CT285"/>
  <c r="W285"/>
  <c r="X835"/>
  <c r="Y835"/>
  <c r="Z835"/>
  <c r="CT835"/>
  <c r="W835" s="1"/>
  <c r="X574"/>
  <c r="Y574"/>
  <c r="Z574"/>
  <c r="CT574"/>
  <c r="W574"/>
  <c r="X759"/>
  <c r="Y759"/>
  <c r="Z759"/>
  <c r="CT759"/>
  <c r="W759" s="1"/>
  <c r="X758"/>
  <c r="Y758"/>
  <c r="Z758"/>
  <c r="CT758"/>
  <c r="W758"/>
  <c r="X1503"/>
  <c r="Y1503"/>
  <c r="Z1503"/>
  <c r="CT1503"/>
  <c r="W1503" s="1"/>
  <c r="X836"/>
  <c r="Y836"/>
  <c r="Z836"/>
  <c r="CT836"/>
  <c r="W836"/>
  <c r="X837"/>
  <c r="Y837"/>
  <c r="Z837"/>
  <c r="CT837"/>
  <c r="W837" s="1"/>
  <c r="AC837" s="1"/>
  <c r="X1446"/>
  <c r="Y1446"/>
  <c r="Z1446"/>
  <c r="CT1446"/>
  <c r="W1446"/>
  <c r="X378"/>
  <c r="Y378"/>
  <c r="Z378"/>
  <c r="CT378"/>
  <c r="W378" s="1"/>
  <c r="AC378" s="1"/>
  <c r="X240"/>
  <c r="Y240"/>
  <c r="Z240"/>
  <c r="CT240"/>
  <c r="W240"/>
  <c r="X916"/>
  <c r="Y916"/>
  <c r="Z916"/>
  <c r="CT916"/>
  <c r="W916" s="1"/>
  <c r="X241"/>
  <c r="Y241"/>
  <c r="Z241"/>
  <c r="CT241"/>
  <c r="W241"/>
  <c r="X917"/>
  <c r="Y917"/>
  <c r="Z917"/>
  <c r="CT917"/>
  <c r="W917" s="1"/>
  <c r="X760"/>
  <c r="Y760"/>
  <c r="Z760"/>
  <c r="CT760"/>
  <c r="W760"/>
  <c r="X1447"/>
  <c r="Y1447"/>
  <c r="Z1447"/>
  <c r="CT1447"/>
  <c r="W1447" s="1"/>
  <c r="X158"/>
  <c r="Y158"/>
  <c r="Z158"/>
  <c r="CT158"/>
  <c r="W158"/>
  <c r="X1165"/>
  <c r="Y1165"/>
  <c r="Z1165"/>
  <c r="CT1165"/>
  <c r="W1165" s="1"/>
  <c r="X1504"/>
  <c r="Y1504"/>
  <c r="Z1504"/>
  <c r="CT1504"/>
  <c r="W1504"/>
  <c r="X762"/>
  <c r="Y762"/>
  <c r="Z762"/>
  <c r="CT762"/>
  <c r="W762" s="1"/>
  <c r="X1310"/>
  <c r="Y1310"/>
  <c r="Z1310"/>
  <c r="CT1310"/>
  <c r="W1310"/>
  <c r="X32"/>
  <c r="Y32"/>
  <c r="Z32"/>
  <c r="CT32"/>
  <c r="W32" s="1"/>
  <c r="X159"/>
  <c r="Y159"/>
  <c r="Z159"/>
  <c r="CT159"/>
  <c r="W159"/>
  <c r="X761"/>
  <c r="Y761"/>
  <c r="Z761"/>
  <c r="CT761"/>
  <c r="W761" s="1"/>
  <c r="AC761" s="1"/>
  <c r="X1382"/>
  <c r="Y1382"/>
  <c r="Z1382"/>
  <c r="CT1382"/>
  <c r="W1382"/>
  <c r="X160"/>
  <c r="Y160"/>
  <c r="Z160"/>
  <c r="CT160"/>
  <c r="W160" s="1"/>
  <c r="X499"/>
  <c r="Y499"/>
  <c r="Z499"/>
  <c r="CT499"/>
  <c r="W499"/>
  <c r="X501"/>
  <c r="Y501"/>
  <c r="Z501"/>
  <c r="CT501"/>
  <c r="W501" s="1"/>
  <c r="X129"/>
  <c r="Y129"/>
  <c r="Z129"/>
  <c r="CT129"/>
  <c r="W129"/>
  <c r="X1505"/>
  <c r="Y1505"/>
  <c r="Z1505"/>
  <c r="CT1505"/>
  <c r="W1505" s="1"/>
  <c r="X130"/>
  <c r="Y130"/>
  <c r="Z130"/>
  <c r="CT130"/>
  <c r="W130"/>
  <c r="X128"/>
  <c r="Y128"/>
  <c r="Z128"/>
  <c r="CT128"/>
  <c r="W128" s="1"/>
  <c r="X1225"/>
  <c r="Y1225"/>
  <c r="Z1225"/>
  <c r="CT1225"/>
  <c r="W1225"/>
  <c r="Y1383"/>
  <c r="Z1383"/>
  <c r="CT1383"/>
  <c r="W1383"/>
  <c r="X164"/>
  <c r="Y164"/>
  <c r="Z164"/>
  <c r="CT164"/>
  <c r="W164" s="1"/>
  <c r="AC164" s="1"/>
  <c r="H161"/>
  <c r="H212" s="1"/>
  <c r="X161"/>
  <c r="Y161"/>
  <c r="Z161"/>
  <c r="X989"/>
  <c r="Y989"/>
  <c r="Z989"/>
  <c r="CT989"/>
  <c r="W989"/>
  <c r="X1029"/>
  <c r="Y1029"/>
  <c r="Z1029"/>
  <c r="CT1029"/>
  <c r="W1029" s="1"/>
  <c r="AC1029" s="1"/>
  <c r="X131"/>
  <c r="Y131"/>
  <c r="Z131"/>
  <c r="CT131"/>
  <c r="W131"/>
  <c r="X379"/>
  <c r="Y379"/>
  <c r="Z379"/>
  <c r="CT379"/>
  <c r="W379" s="1"/>
  <c r="Y162"/>
  <c r="Z162"/>
  <c r="CT162"/>
  <c r="W162" s="1"/>
  <c r="X163"/>
  <c r="Y163"/>
  <c r="Z163"/>
  <c r="CT163"/>
  <c r="W163"/>
  <c r="X1028"/>
  <c r="Y1028"/>
  <c r="Z1028"/>
  <c r="CT1028"/>
  <c r="W1028" s="1"/>
  <c r="X500"/>
  <c r="Y500"/>
  <c r="Z500"/>
  <c r="CT500"/>
  <c r="W500"/>
  <c r="H286"/>
  <c r="X286"/>
  <c r="Y286"/>
  <c r="Z286"/>
  <c r="CT286"/>
  <c r="W286"/>
  <c r="X1506"/>
  <c r="Y1506"/>
  <c r="Z1506"/>
  <c r="CT1506"/>
  <c r="W1506" s="1"/>
  <c r="X1227"/>
  <c r="Y1227"/>
  <c r="Z1227"/>
  <c r="CT1227"/>
  <c r="W1227"/>
  <c r="X1229"/>
  <c r="Y1229"/>
  <c r="Z1229"/>
  <c r="CT1229"/>
  <c r="W1229" s="1"/>
  <c r="X1230"/>
  <c r="Y1230"/>
  <c r="Z1230"/>
  <c r="CT1230"/>
  <c r="W1230"/>
  <c r="X242"/>
  <c r="Y242"/>
  <c r="Z242"/>
  <c r="CT242"/>
  <c r="W242" s="1"/>
  <c r="AC242" s="1"/>
  <c r="X383"/>
  <c r="Y383"/>
  <c r="CT383"/>
  <c r="W383"/>
  <c r="X1081"/>
  <c r="Y1081"/>
  <c r="Z1081"/>
  <c r="CT1081"/>
  <c r="W1081" s="1"/>
  <c r="X34"/>
  <c r="Y34"/>
  <c r="Z34"/>
  <c r="CT34"/>
  <c r="W34"/>
  <c r="X763"/>
  <c r="Y763"/>
  <c r="Z763"/>
  <c r="CT763"/>
  <c r="W763" s="1"/>
  <c r="X381"/>
  <c r="Y381"/>
  <c r="Z381"/>
  <c r="CT381"/>
  <c r="W381"/>
  <c r="X682"/>
  <c r="Y682"/>
  <c r="Z682"/>
  <c r="CT682"/>
  <c r="W682" s="1"/>
  <c r="X1384"/>
  <c r="Y1384"/>
  <c r="Z1384"/>
  <c r="CT1384"/>
  <c r="W1384"/>
  <c r="Y1386"/>
  <c r="Z1386"/>
  <c r="CT1386"/>
  <c r="W1386"/>
  <c r="X1385"/>
  <c r="Y1385"/>
  <c r="Z1385"/>
  <c r="CT1385"/>
  <c r="W1385" s="1"/>
  <c r="X386"/>
  <c r="Y386"/>
  <c r="Z386"/>
  <c r="CT386"/>
  <c r="W386"/>
  <c r="X38"/>
  <c r="Y38"/>
  <c r="Z38"/>
  <c r="CT38"/>
  <c r="W38" s="1"/>
  <c r="X36"/>
  <c r="Y36"/>
  <c r="Z36"/>
  <c r="CT36"/>
  <c r="W36"/>
  <c r="X35"/>
  <c r="Y35"/>
  <c r="Z35"/>
  <c r="CT35"/>
  <c r="W35" s="1"/>
  <c r="AC35" s="1"/>
  <c r="X243"/>
  <c r="Y243"/>
  <c r="Z243"/>
  <c r="CT243"/>
  <c r="W243"/>
  <c r="X244"/>
  <c r="Y244"/>
  <c r="Z244"/>
  <c r="CT244"/>
  <c r="W244" s="1"/>
  <c r="X245"/>
  <c r="Y245"/>
  <c r="Z245"/>
  <c r="CT245"/>
  <c r="W245"/>
  <c r="X246"/>
  <c r="Y246"/>
  <c r="Z246"/>
  <c r="CT246"/>
  <c r="W246" s="1"/>
  <c r="AC246" s="1"/>
  <c r="X387"/>
  <c r="Y387"/>
  <c r="Z387"/>
  <c r="CT387"/>
  <c r="W387"/>
  <c r="H39"/>
  <c r="Y39"/>
  <c r="Z39"/>
  <c r="CT39"/>
  <c r="W39" s="1"/>
  <c r="X37"/>
  <c r="Y37"/>
  <c r="Z37"/>
  <c r="CT37"/>
  <c r="W37"/>
  <c r="X40"/>
  <c r="Y40"/>
  <c r="Z40"/>
  <c r="CT40"/>
  <c r="W40" s="1"/>
  <c r="AC40" s="1"/>
  <c r="X1311"/>
  <c r="Y1311"/>
  <c r="Z1311"/>
  <c r="CT1311"/>
  <c r="W1311"/>
  <c r="X838"/>
  <c r="Y838"/>
  <c r="Z838"/>
  <c r="CT838"/>
  <c r="W838" s="1"/>
  <c r="X839"/>
  <c r="Y839"/>
  <c r="Z839"/>
  <c r="CT839"/>
  <c r="W839"/>
  <c r="X389"/>
  <c r="Y389"/>
  <c r="Z389"/>
  <c r="CT389"/>
  <c r="W389" s="1"/>
  <c r="X41"/>
  <c r="Y41"/>
  <c r="Z41"/>
  <c r="CT41"/>
  <c r="W41"/>
  <c r="X42"/>
  <c r="Y42"/>
  <c r="Z42"/>
  <c r="CT42"/>
  <c r="W42" s="1"/>
  <c r="X43"/>
  <c r="Y43"/>
  <c r="Z43"/>
  <c r="CT43"/>
  <c r="W43"/>
  <c r="X247"/>
  <c r="Y247"/>
  <c r="Z247"/>
  <c r="CT247"/>
  <c r="W247" s="1"/>
  <c r="X765"/>
  <c r="Y765"/>
  <c r="Z765"/>
  <c r="CT765"/>
  <c r="W765"/>
  <c r="X764"/>
  <c r="Y764"/>
  <c r="Z764"/>
  <c r="CT764"/>
  <c r="W764" s="1"/>
  <c r="AC764" s="1"/>
  <c r="X1312"/>
  <c r="Y1312"/>
  <c r="Z1312"/>
  <c r="CT1312"/>
  <c r="W1312"/>
  <c r="X390"/>
  <c r="Y390"/>
  <c r="Z390"/>
  <c r="CT390"/>
  <c r="W390" s="1"/>
  <c r="X686"/>
  <c r="Y686"/>
  <c r="Z686"/>
  <c r="CT686"/>
  <c r="W686"/>
  <c r="X287"/>
  <c r="Y287"/>
  <c r="Z287"/>
  <c r="CT287"/>
  <c r="W287" s="1"/>
  <c r="AC287" s="1"/>
  <c r="X1314"/>
  <c r="Y1314"/>
  <c r="Z1314"/>
  <c r="CT1314"/>
  <c r="W1314"/>
  <c r="X1313"/>
  <c r="Y1313"/>
  <c r="Z1313"/>
  <c r="CT1313"/>
  <c r="W1313" s="1"/>
  <c r="X1315"/>
  <c r="Y1315"/>
  <c r="Z1315"/>
  <c r="CT1315"/>
  <c r="W1315"/>
  <c r="X766"/>
  <c r="Y766"/>
  <c r="Z766"/>
  <c r="CT766"/>
  <c r="W766" s="1"/>
  <c r="AC766" s="1"/>
  <c r="X688"/>
  <c r="Y688"/>
  <c r="Z688"/>
  <c r="CT688"/>
  <c r="W688"/>
  <c r="X586"/>
  <c r="Y586"/>
  <c r="Z586"/>
  <c r="CT586"/>
  <c r="W586" s="1"/>
  <c r="X248"/>
  <c r="Y248"/>
  <c r="Z248"/>
  <c r="CT248"/>
  <c r="W248"/>
  <c r="Y687"/>
  <c r="Z687"/>
  <c r="CT687"/>
  <c r="W687"/>
  <c r="Y1387"/>
  <c r="Z1387"/>
  <c r="CT1387"/>
  <c r="W1387"/>
  <c r="X288"/>
  <c r="Y288"/>
  <c r="Z288"/>
  <c r="CT288"/>
  <c r="W288" s="1"/>
  <c r="AC288" s="1"/>
  <c r="X577"/>
  <c r="Z577"/>
  <c r="CT577"/>
  <c r="W577" s="1"/>
  <c r="Y579"/>
  <c r="Z579"/>
  <c r="CT579"/>
  <c r="W579" s="1"/>
  <c r="Y578"/>
  <c r="Z578"/>
  <c r="CT578"/>
  <c r="W578" s="1"/>
  <c r="AC578" s="1"/>
  <c r="X44"/>
  <c r="Y44"/>
  <c r="Z44"/>
  <c r="CT44"/>
  <c r="W44"/>
  <c r="X840"/>
  <c r="Y840"/>
  <c r="Z840"/>
  <c r="CT840"/>
  <c r="W840" s="1"/>
  <c r="AC840" s="1"/>
  <c r="Y689"/>
  <c r="Z689"/>
  <c r="CT689"/>
  <c r="W689" s="1"/>
  <c r="AC689" s="1"/>
  <c r="X290"/>
  <c r="Y290"/>
  <c r="Z290"/>
  <c r="CT290"/>
  <c r="W290"/>
  <c r="X690"/>
  <c r="Y690"/>
  <c r="Z690"/>
  <c r="CT690"/>
  <c r="W690" s="1"/>
  <c r="X165"/>
  <c r="Y165"/>
  <c r="Z165"/>
  <c r="CT165"/>
  <c r="W165"/>
  <c r="X990"/>
  <c r="Y990"/>
  <c r="Z990"/>
  <c r="CT990"/>
  <c r="W990" s="1"/>
  <c r="AC990" s="1"/>
  <c r="X991"/>
  <c r="Y991"/>
  <c r="Z991"/>
  <c r="CT991"/>
  <c r="W991"/>
  <c r="Y1388"/>
  <c r="Z1388"/>
  <c r="CT1388"/>
  <c r="W1388"/>
  <c r="X292"/>
  <c r="Y292"/>
  <c r="Z292"/>
  <c r="CT292"/>
  <c r="W292" s="1"/>
  <c r="X133"/>
  <c r="Y133"/>
  <c r="Z133"/>
  <c r="CT133"/>
  <c r="W133"/>
  <c r="X293"/>
  <c r="Y293"/>
  <c r="Z293"/>
  <c r="CT293"/>
  <c r="W293" s="1"/>
  <c r="X992"/>
  <c r="Y992"/>
  <c r="Z992"/>
  <c r="CT992"/>
  <c r="W992"/>
  <c r="H994"/>
  <c r="H1016" s="1"/>
  <c r="K994"/>
  <c r="K1016" s="1"/>
  <c r="K1582" s="1"/>
  <c r="X994"/>
  <c r="Y994"/>
  <c r="Z994"/>
  <c r="CT994"/>
  <c r="W994"/>
  <c r="X993"/>
  <c r="Y993"/>
  <c r="Z993"/>
  <c r="CT993"/>
  <c r="W993" s="1"/>
  <c r="AC993" s="1"/>
  <c r="X1166"/>
  <c r="Y1166"/>
  <c r="Z1166"/>
  <c r="CT1166"/>
  <c r="W1166"/>
  <c r="X391"/>
  <c r="Y391"/>
  <c r="Z391"/>
  <c r="CT391"/>
  <c r="W391" s="1"/>
  <c r="X995"/>
  <c r="Y995"/>
  <c r="Z995"/>
  <c r="CT995"/>
  <c r="W995"/>
  <c r="X996"/>
  <c r="Y996"/>
  <c r="Z996"/>
  <c r="CT996"/>
  <c r="W996" s="1"/>
  <c r="X1508"/>
  <c r="Y1508"/>
  <c r="Z1508"/>
  <c r="CT1508"/>
  <c r="W1508"/>
  <c r="Y294"/>
  <c r="Z294"/>
  <c r="CT294"/>
  <c r="W294"/>
  <c r="X1167"/>
  <c r="Y1167"/>
  <c r="Z1167"/>
  <c r="CT1167"/>
  <c r="W1167" s="1"/>
  <c r="X33"/>
  <c r="Y33"/>
  <c r="Z33"/>
  <c r="CT33"/>
  <c r="W33"/>
  <c r="X1082"/>
  <c r="Y1082"/>
  <c r="Z1082"/>
  <c r="CT1082"/>
  <c r="W1082" s="1"/>
  <c r="X308"/>
  <c r="Y308"/>
  <c r="Z308"/>
  <c r="CT308"/>
  <c r="W308"/>
  <c r="X168"/>
  <c r="Y168"/>
  <c r="Z168"/>
  <c r="CT168"/>
  <c r="W168" s="1"/>
  <c r="CT972"/>
  <c r="W972" s="1"/>
  <c r="AC972" s="1"/>
  <c r="CT1282"/>
  <c r="W1282" s="1"/>
  <c r="AC1282" s="1"/>
  <c r="CT511"/>
  <c r="W511" s="1"/>
  <c r="CT975"/>
  <c r="W975"/>
  <c r="AC975" s="1"/>
  <c r="CT1414"/>
  <c r="W1414" s="1"/>
  <c r="AC1414" s="1"/>
  <c r="CT509"/>
  <c r="W509"/>
  <c r="AC509" s="1"/>
  <c r="CT1412"/>
  <c r="W1412" s="1"/>
  <c r="CT1492"/>
  <c r="W1492" s="1"/>
  <c r="AC1492" s="1"/>
  <c r="CT942"/>
  <c r="W942" s="1"/>
  <c r="AC942" s="1"/>
  <c r="CT914"/>
  <c r="W914"/>
  <c r="CT1435"/>
  <c r="W1435"/>
  <c r="AC1435" s="1"/>
  <c r="CT475"/>
  <c r="W475" s="1"/>
  <c r="AC475" s="1"/>
  <c r="CT976"/>
  <c r="W976"/>
  <c r="AC976" s="1"/>
  <c r="CT973"/>
  <c r="W973" s="1"/>
  <c r="CT1409"/>
  <c r="W1409" s="1"/>
  <c r="CT161"/>
  <c r="W161" s="1"/>
  <c r="AC161" s="1"/>
  <c r="CT945"/>
  <c r="W945"/>
  <c r="AC945" s="1"/>
  <c r="CT699"/>
  <c r="W699" s="1"/>
  <c r="AC699" s="1"/>
  <c r="CT584"/>
  <c r="W584"/>
  <c r="CT582"/>
  <c r="W582"/>
  <c r="CT517"/>
  <c r="W517"/>
  <c r="AC517" s="1"/>
  <c r="CT704"/>
  <c r="W704" s="1"/>
  <c r="AC704" s="1"/>
  <c r="CT135"/>
  <c r="W135"/>
  <c r="AC135" s="1"/>
  <c r="CT1317"/>
  <c r="W1317" s="1"/>
  <c r="AC1317" s="1"/>
  <c r="AC336"/>
  <c r="AC453"/>
  <c r="AC102"/>
  <c r="CT1419"/>
  <c r="W1419"/>
  <c r="AC1419" s="1"/>
  <c r="CT1395"/>
  <c r="W1395" s="1"/>
  <c r="AC1395" s="1"/>
  <c r="AC1336"/>
  <c r="AC785"/>
  <c r="AC483"/>
  <c r="AC1539"/>
  <c r="AC786"/>
  <c r="AC1538"/>
  <c r="AC784"/>
  <c r="AC1117"/>
  <c r="CT960"/>
  <c r="W960"/>
  <c r="AC960" s="1"/>
  <c r="AC1122"/>
  <c r="AC189"/>
  <c r="AC1002"/>
  <c r="CT392"/>
  <c r="W392"/>
  <c r="CT300"/>
  <c r="W300"/>
  <c r="AC300" s="1"/>
  <c r="CT841"/>
  <c r="W841" s="1"/>
  <c r="AC841" s="1"/>
  <c r="CT564"/>
  <c r="W564"/>
  <c r="AC564" s="1"/>
  <c r="AC1371"/>
  <c r="AC662"/>
  <c r="AC427"/>
  <c r="AC1550"/>
  <c r="AC1372"/>
  <c r="AC1045"/>
  <c r="AC1013"/>
  <c r="CT1437"/>
  <c r="W1437"/>
  <c r="AC1437" s="1"/>
  <c r="CT516"/>
  <c r="W516" s="1"/>
  <c r="AC516" s="1"/>
  <c r="CT1434"/>
  <c r="W1434" s="1"/>
  <c r="CT514"/>
  <c r="W514" s="1"/>
  <c r="CT757"/>
  <c r="W757" s="1"/>
  <c r="AC757" s="1"/>
  <c r="CT24"/>
  <c r="W24"/>
  <c r="AC24" s="1"/>
  <c r="CT677"/>
  <c r="W677" s="1"/>
  <c r="AC677" s="1"/>
  <c r="CT1217"/>
  <c r="W1217" s="1"/>
  <c r="AC1217" s="1"/>
  <c r="CT913"/>
  <c r="W913" s="1"/>
  <c r="CT476"/>
  <c r="W476" s="1"/>
  <c r="AC476" s="1"/>
  <c r="AC505"/>
  <c r="AC964"/>
  <c r="AC1556"/>
  <c r="AC1466"/>
  <c r="AC1257"/>
  <c r="AC783"/>
  <c r="AC614"/>
  <c r="AC713"/>
  <c r="AC341"/>
  <c r="AC547"/>
  <c r="CT581"/>
  <c r="W581"/>
  <c r="AC581" s="1"/>
  <c r="AC1126"/>
  <c r="AC902"/>
  <c r="AC465"/>
  <c r="AC805"/>
  <c r="AC966"/>
  <c r="AC1135"/>
  <c r="AC1134"/>
  <c r="AC432"/>
  <c r="AC119"/>
  <c r="AC814"/>
  <c r="AC266"/>
  <c r="AC1516"/>
  <c r="AC1320"/>
  <c r="AC1243"/>
  <c r="AC76"/>
  <c r="AC1457"/>
  <c r="AC524"/>
  <c r="AC325"/>
  <c r="AC772"/>
  <c r="AC327"/>
  <c r="AC1178"/>
  <c r="AC1333"/>
  <c r="AC1340"/>
  <c r="AC193"/>
  <c r="AC885"/>
  <c r="AC331"/>
  <c r="AC256"/>
  <c r="AC1193"/>
  <c r="AC794"/>
  <c r="AC793"/>
  <c r="AC1549"/>
  <c r="AC1551"/>
  <c r="AC663"/>
  <c r="AC661"/>
  <c r="AC257"/>
  <c r="AC258"/>
  <c r="AC1547"/>
  <c r="AC1011"/>
  <c r="AC1373"/>
  <c r="AC1528"/>
  <c r="AC1529"/>
  <c r="AC337"/>
  <c r="AC93"/>
  <c r="AC1402"/>
  <c r="AC254"/>
  <c r="AC1114"/>
  <c r="AC778"/>
  <c r="AC400"/>
  <c r="AC780"/>
  <c r="AC787"/>
  <c r="AC891"/>
  <c r="AC894"/>
  <c r="AC1250"/>
  <c r="AC485"/>
  <c r="AC104"/>
  <c r="AC1368"/>
  <c r="AC411"/>
  <c r="AC1405"/>
  <c r="AC103"/>
  <c r="AC199"/>
  <c r="AC198"/>
  <c r="AC1120"/>
  <c r="AC1249"/>
  <c r="AC1256"/>
  <c r="AC790"/>
  <c r="AC545"/>
  <c r="AC255"/>
  <c r="AC1532"/>
  <c r="AC461"/>
  <c r="AC138"/>
  <c r="AC619"/>
  <c r="AC621"/>
  <c r="AC1005"/>
  <c r="AC1544"/>
  <c r="AC1265"/>
  <c r="AC115"/>
  <c r="AC414"/>
  <c r="AC424"/>
  <c r="AC423"/>
  <c r="AC668"/>
  <c r="AC1264"/>
  <c r="AC83"/>
  <c r="AC452"/>
  <c r="AC570"/>
  <c r="AC779"/>
  <c r="AC781"/>
  <c r="AC659"/>
  <c r="AC412"/>
  <c r="AC1254"/>
  <c r="AC201"/>
  <c r="AC202"/>
  <c r="AC1518"/>
  <c r="AC463"/>
  <c r="AC1555"/>
  <c r="AC413"/>
  <c r="AC1014"/>
  <c r="AC622"/>
  <c r="AC1198"/>
  <c r="AC803"/>
  <c r="AC1053"/>
  <c r="AC806"/>
  <c r="AC1269"/>
  <c r="AC1361"/>
  <c r="AC554"/>
  <c r="AC187"/>
  <c r="AC1347"/>
  <c r="AC1174"/>
  <c r="AC1342"/>
  <c r="AC1156"/>
  <c r="AC606"/>
  <c r="AC1180"/>
  <c r="AC1182"/>
  <c r="AC1181"/>
  <c r="AC1185"/>
  <c r="AC82"/>
  <c r="AC84"/>
  <c r="AC1524"/>
  <c r="AC1187"/>
  <c r="AC855"/>
  <c r="AC656"/>
  <c r="AC448"/>
  <c r="AC777"/>
  <c r="AC525"/>
  <c r="AC847"/>
  <c r="AC602"/>
  <c r="AC568"/>
  <c r="AC575"/>
  <c r="AC398"/>
  <c r="AC401"/>
  <c r="AC87"/>
  <c r="AC651"/>
  <c r="AC657"/>
  <c r="AC456"/>
  <c r="AC536"/>
  <c r="AC887"/>
  <c r="AC1116"/>
  <c r="AC1115"/>
  <c r="AC652"/>
  <c r="AC543"/>
  <c r="AC1464"/>
  <c r="AC1009"/>
  <c r="AC1252"/>
  <c r="AC1465"/>
  <c r="AC1525"/>
  <c r="AC106"/>
  <c r="AC1541"/>
  <c r="AC109"/>
  <c r="AC426"/>
  <c r="AC664"/>
  <c r="AC415"/>
  <c r="AC205"/>
  <c r="AC259"/>
  <c r="AC464"/>
  <c r="AC898"/>
  <c r="AC1036"/>
  <c r="AC1037"/>
  <c r="AC670"/>
  <c r="AC669"/>
  <c r="AC1263"/>
  <c r="AC1459"/>
  <c r="AC260"/>
  <c r="AC195"/>
  <c r="AC1366"/>
  <c r="AC1462"/>
  <c r="AC1034"/>
  <c r="AC451"/>
  <c r="AC1513"/>
  <c r="AC1332"/>
  <c r="AC808"/>
  <c r="AC1326"/>
  <c r="AC1157"/>
  <c r="AC620"/>
  <c r="AC206"/>
  <c r="AC1128"/>
  <c r="AC253"/>
  <c r="AC1364"/>
  <c r="AC615"/>
  <c r="AC418"/>
  <c r="AC1194"/>
  <c r="AC901"/>
  <c r="AC1519"/>
  <c r="AC1536"/>
  <c r="AC1369"/>
  <c r="AC1052"/>
  <c r="AC958"/>
  <c r="AC1461"/>
  <c r="AC417"/>
  <c r="AC1260"/>
  <c r="AC1565"/>
  <c r="AC1471"/>
  <c r="AC876"/>
  <c r="AC78"/>
  <c r="AC882"/>
  <c r="AC1515"/>
  <c r="AC1522"/>
  <c r="AC714"/>
  <c r="AC209"/>
  <c r="AC1057"/>
  <c r="AC1060"/>
  <c r="AC1142"/>
  <c r="AC1145"/>
  <c r="AC1147"/>
  <c r="AC270"/>
  <c r="AC1572"/>
  <c r="AC1473"/>
  <c r="AC1274"/>
  <c r="AC820"/>
  <c r="AC1578"/>
  <c r="AC324"/>
  <c r="AC1474"/>
  <c r="AC539"/>
  <c r="AC1353"/>
  <c r="AC708"/>
  <c r="AC878"/>
  <c r="AC249"/>
  <c r="AC700"/>
  <c r="AC393"/>
  <c r="AC1001"/>
  <c r="AC186"/>
  <c r="AC1329"/>
  <c r="AC261"/>
  <c r="AC968"/>
  <c r="AC542"/>
  <c r="AC80"/>
  <c r="AC52"/>
  <c r="AC1345"/>
  <c r="AC1507"/>
  <c r="AC183"/>
  <c r="AC693"/>
  <c r="AC185"/>
  <c r="AC1241"/>
  <c r="AC817"/>
  <c r="AC850"/>
  <c r="AC1571"/>
  <c r="AC430"/>
  <c r="AC1105"/>
  <c r="AC1042"/>
  <c r="AC595"/>
  <c r="AC1454"/>
  <c r="AC1244"/>
  <c r="AC1468"/>
  <c r="AC1472"/>
  <c r="AC1531"/>
  <c r="AC1124"/>
  <c r="AC114"/>
  <c r="AC1200"/>
  <c r="AC268"/>
  <c r="AC394"/>
  <c r="AC1096"/>
  <c r="AC90"/>
  <c r="AC408"/>
  <c r="AC1113"/>
  <c r="AC1253"/>
  <c r="AC1543"/>
  <c r="AC1035"/>
  <c r="AC789"/>
  <c r="AC108"/>
  <c r="AC1552"/>
  <c r="AC340"/>
  <c r="AC1566"/>
  <c r="AC909"/>
  <c r="AC1109"/>
  <c r="AC883"/>
  <c r="AC892"/>
  <c r="AC884"/>
  <c r="AC880"/>
  <c r="AC911"/>
  <c r="AC906"/>
  <c r="AC821"/>
  <c r="AC271"/>
  <c r="AC468"/>
  <c r="AC435"/>
  <c r="AC434"/>
  <c r="AC1201"/>
  <c r="AC1062"/>
  <c r="AC1050"/>
  <c r="AC1054"/>
  <c r="AC1350"/>
  <c r="AC1355"/>
  <c r="AC1356"/>
  <c r="AC1359"/>
  <c r="AC859"/>
  <c r="AC716"/>
  <c r="AC1107"/>
  <c r="CT851"/>
  <c r="W851"/>
  <c r="AC851" s="1"/>
  <c r="CT849"/>
  <c r="W849" s="1"/>
  <c r="AC849" s="1"/>
  <c r="CT608"/>
  <c r="W608"/>
  <c r="AC608" s="1"/>
  <c r="CT531"/>
  <c r="W531" s="1"/>
  <c r="AC531" s="1"/>
  <c r="AC1406"/>
  <c r="AC204"/>
  <c r="CT1348"/>
  <c r="W1348"/>
  <c r="AC1348" s="1"/>
  <c r="AC797"/>
  <c r="AC1189"/>
  <c r="AC895"/>
  <c r="AC75"/>
  <c r="AC1247"/>
  <c r="AC335"/>
  <c r="AC611"/>
  <c r="AC1261"/>
  <c r="AC1091"/>
  <c r="AC853"/>
  <c r="AC1248"/>
  <c r="AC665"/>
  <c r="AC933"/>
  <c r="AC607"/>
  <c r="AC1557"/>
  <c r="AC1323"/>
  <c r="AC333"/>
  <c r="AC1463"/>
  <c r="AC548"/>
  <c r="AC550"/>
  <c r="AC460"/>
  <c r="CT1512"/>
  <c r="W1512"/>
  <c r="AC1512" s="1"/>
  <c r="AC886"/>
  <c r="AC1130"/>
  <c r="AC530"/>
  <c r="AC467"/>
  <c r="AC402"/>
  <c r="AC191"/>
  <c r="AC773"/>
  <c r="AC1004"/>
  <c r="AC890"/>
  <c r="AC263"/>
  <c r="AC1148"/>
  <c r="AC1173"/>
  <c r="AC1335"/>
  <c r="AC86"/>
  <c r="AC96"/>
  <c r="AC1049"/>
  <c r="AC1404"/>
  <c r="AC1360"/>
  <c r="AC307"/>
  <c r="AC645"/>
  <c r="AC769"/>
  <c r="AC1103"/>
  <c r="AC1184"/>
  <c r="AC406"/>
  <c r="AC534"/>
  <c r="AC1245"/>
  <c r="AC1033"/>
  <c r="AC113"/>
  <c r="AC462"/>
  <c r="AC796"/>
  <c r="AC962"/>
  <c r="AC666"/>
  <c r="AC544"/>
  <c r="AC1275"/>
  <c r="AC388"/>
  <c r="AC65"/>
  <c r="AC397"/>
  <c r="AC79"/>
  <c r="AC1339"/>
  <c r="AC529"/>
  <c r="AC1530"/>
  <c r="AC609"/>
  <c r="AC1010"/>
  <c r="AC1262"/>
  <c r="AC110"/>
  <c r="AC428"/>
  <c r="AC506"/>
  <c r="AC1012"/>
  <c r="AC1511"/>
  <c r="AC795"/>
  <c r="AC112"/>
  <c r="AC807"/>
  <c r="AC1046"/>
  <c r="AC507"/>
  <c r="AC1195"/>
  <c r="AC410"/>
  <c r="AC1375"/>
  <c r="AC1575"/>
  <c r="AC1351"/>
  <c r="AC116"/>
  <c r="AC421"/>
  <c r="AC64"/>
  <c r="AC1343"/>
  <c r="AC523"/>
  <c r="AC540"/>
  <c r="AC660"/>
  <c r="AC842"/>
  <c r="AC71"/>
  <c r="AC1456"/>
  <c r="AC604"/>
  <c r="AC889"/>
  <c r="AC549"/>
  <c r="AC73"/>
  <c r="AC1171"/>
  <c r="AC1521"/>
  <c r="AC117"/>
  <c r="AC446"/>
  <c r="AC66"/>
  <c r="AC72"/>
  <c r="AC1325"/>
  <c r="AC99"/>
  <c r="AC194"/>
  <c r="AC469"/>
  <c r="AC558"/>
  <c r="AC969"/>
  <c r="AC705"/>
  <c r="AC56"/>
  <c r="AC320"/>
  <c r="AC947"/>
  <c r="AC752"/>
  <c r="AC703"/>
  <c r="AC628"/>
  <c r="AC176"/>
  <c r="AC1226"/>
  <c r="AC926"/>
  <c r="AC1309"/>
  <c r="AC318"/>
  <c r="AC596"/>
  <c r="AC1152"/>
  <c r="AC1168"/>
  <c r="AC1085"/>
  <c r="AC934"/>
  <c r="AC932"/>
  <c r="AC919"/>
  <c r="AC48"/>
  <c r="AC843"/>
  <c r="AC930"/>
  <c r="AC927"/>
  <c r="AC941"/>
  <c r="AC998"/>
  <c r="AC1087"/>
  <c r="AC172"/>
  <c r="AC944"/>
  <c r="AC1235"/>
  <c r="AC636"/>
  <c r="AC157"/>
  <c r="AC1451"/>
  <c r="AC593"/>
  <c r="AC683"/>
  <c r="AC1394"/>
  <c r="AC1089"/>
  <c r="AC999"/>
  <c r="AC526"/>
  <c r="AC1452"/>
  <c r="AC443"/>
  <c r="AC484"/>
  <c r="AC182"/>
  <c r="AC949"/>
  <c r="AC321"/>
  <c r="AC1453"/>
  <c r="AC1396"/>
  <c r="AC1172"/>
  <c r="AC1095"/>
  <c r="AC952"/>
  <c r="AC1324"/>
  <c r="AC1100"/>
  <c r="AC1101"/>
  <c r="AC251"/>
  <c r="AC1083"/>
  <c r="AC1233"/>
  <c r="AC171"/>
  <c r="AC1079"/>
  <c r="AC642"/>
  <c r="AC1509"/>
  <c r="AC938"/>
  <c r="AC175"/>
  <c r="AC1450"/>
  <c r="AC844"/>
  <c r="AC1319"/>
  <c r="AC301"/>
  <c r="AC588"/>
  <c r="AC587"/>
  <c r="AC132"/>
  <c r="AC385"/>
  <c r="AC384"/>
  <c r="AC382"/>
  <c r="AC1090"/>
  <c r="AC181"/>
  <c r="AC1321"/>
  <c r="AC137"/>
  <c r="AC706"/>
  <c r="AC875"/>
  <c r="AC445"/>
  <c r="AC1400"/>
  <c r="AC380"/>
  <c r="AC250"/>
  <c r="AC1097"/>
  <c r="AC1099"/>
  <c r="AC60"/>
  <c r="AC63"/>
  <c r="AC69"/>
  <c r="AC599"/>
  <c r="AC252"/>
  <c r="AC74"/>
  <c r="AC771"/>
  <c r="AC694"/>
  <c r="AC768"/>
  <c r="AC184"/>
  <c r="AC1098"/>
  <c r="AC1094"/>
  <c r="AC70"/>
  <c r="AC862"/>
  <c r="AC863"/>
  <c r="AC597"/>
  <c r="AC1239"/>
  <c r="AC528"/>
  <c r="AC647"/>
  <c r="AC1088"/>
  <c r="AC537"/>
  <c r="AC203"/>
  <c r="AC899"/>
  <c r="AC1470"/>
  <c r="AC57"/>
  <c r="AC893"/>
  <c r="AC1123"/>
  <c r="AC1086"/>
  <c r="AC527"/>
  <c r="AC422"/>
  <c r="AC946"/>
  <c r="AC1186"/>
  <c r="AC1119"/>
  <c r="AC1266"/>
  <c r="AC396"/>
  <c r="AC395"/>
  <c r="AC1238"/>
  <c r="AC639"/>
  <c r="AC653"/>
  <c r="AC658"/>
  <c r="AC712"/>
  <c r="AC1545"/>
  <c r="AC459"/>
  <c r="AC1561"/>
  <c r="AC857"/>
  <c r="AC1072"/>
  <c r="AC791"/>
  <c r="AC908"/>
  <c r="AC1191"/>
  <c r="AC1199"/>
  <c r="AC1063"/>
  <c r="AC1140"/>
  <c r="AC1570"/>
  <c r="AC1273"/>
  <c r="AC351"/>
  <c r="AC811"/>
  <c r="AC721"/>
  <c r="AC731"/>
  <c r="AC358"/>
  <c r="AC1411"/>
  <c r="AC860"/>
  <c r="AC353"/>
  <c r="AC1069"/>
  <c r="AC1568"/>
  <c r="AC1137"/>
  <c r="AC1138"/>
  <c r="AC1139"/>
  <c r="AC559"/>
  <c r="AC825"/>
  <c r="AC1006"/>
  <c r="AC612"/>
  <c r="AC1562"/>
  <c r="AC613"/>
  <c r="AC1370"/>
  <c r="AC1048"/>
  <c r="AC1534"/>
  <c r="AC1043"/>
  <c r="AC328"/>
  <c r="AC711"/>
  <c r="AC1553"/>
  <c r="AC1196"/>
  <c r="AC264"/>
  <c r="AC1397"/>
  <c r="AC822"/>
  <c r="AC533"/>
  <c r="AC107"/>
  <c r="AC458"/>
  <c r="AC551"/>
  <c r="AC845"/>
  <c r="AC89"/>
  <c r="AC98"/>
  <c r="AC617"/>
  <c r="AC416"/>
  <c r="AC1129"/>
  <c r="AC1064"/>
  <c r="AC1055"/>
  <c r="AC695"/>
  <c r="AC326"/>
  <c r="AC100"/>
  <c r="AC1537"/>
  <c r="AC1467"/>
  <c r="AC207"/>
  <c r="AC965"/>
  <c r="AC350"/>
  <c r="AC1422"/>
  <c r="AC299"/>
  <c r="AC1153"/>
  <c r="AC444"/>
  <c r="AC1346"/>
  <c r="AC1246"/>
  <c r="AC1460"/>
  <c r="AC616"/>
  <c r="AC1251"/>
  <c r="AC546"/>
  <c r="AC339"/>
  <c r="AC1041"/>
  <c r="AC809"/>
  <c r="AC208"/>
  <c r="AC816"/>
  <c r="AC824"/>
  <c r="AC881"/>
  <c r="AC1357"/>
  <c r="AC1068"/>
  <c r="AC319"/>
  <c r="AC1190"/>
  <c r="AC97"/>
  <c r="AC1111"/>
  <c r="AC1118"/>
  <c r="AC105"/>
  <c r="AC1469"/>
  <c r="AC897"/>
  <c r="AC655"/>
  <c r="AC1558"/>
  <c r="AC1051"/>
  <c r="AC1272"/>
  <c r="AC1146"/>
  <c r="AC904"/>
  <c r="AC433"/>
  <c r="AC470"/>
  <c r="AC141"/>
  <c r="AC971"/>
  <c r="AC1327"/>
  <c r="AC535"/>
  <c r="AC538"/>
  <c r="AC1192"/>
  <c r="AC1535"/>
  <c r="AC1542"/>
  <c r="AC1255"/>
  <c r="AC618"/>
  <c r="AC1533"/>
  <c r="AC1040"/>
  <c r="AC429"/>
  <c r="AC1548"/>
  <c r="AC1560"/>
  <c r="AC900"/>
  <c r="AC801"/>
  <c r="AC1044"/>
  <c r="AC118"/>
  <c r="AC1058"/>
  <c r="AC265"/>
  <c r="AC1576"/>
  <c r="AC553"/>
  <c r="AC1032"/>
  <c r="AC1403"/>
  <c r="AC1018"/>
  <c r="AC77"/>
  <c r="AC454"/>
  <c r="AC92"/>
  <c r="AC541"/>
  <c r="AC1363"/>
  <c r="AC1007"/>
  <c r="AC1258"/>
  <c r="AC111"/>
  <c r="AC896"/>
  <c r="AC343"/>
  <c r="AC798"/>
  <c r="AC1038"/>
  <c r="AC1125"/>
  <c r="AC403"/>
  <c r="AC1267"/>
  <c r="AC800"/>
  <c r="AC1131"/>
  <c r="AC1141"/>
  <c r="AC1574"/>
  <c r="AC349"/>
  <c r="AC1015"/>
  <c r="AC1352"/>
  <c r="AC1108"/>
  <c r="AC1214"/>
  <c r="AC367"/>
  <c r="AC736"/>
  <c r="AC140"/>
  <c r="AC730"/>
  <c r="AC1418"/>
  <c r="AC512"/>
  <c r="AC213"/>
  <c r="AC1017"/>
  <c r="AC1408"/>
  <c r="AC1483"/>
  <c r="AC735"/>
  <c r="AC866"/>
  <c r="AC673"/>
  <c r="AC702"/>
  <c r="AC311"/>
  <c r="AC943"/>
  <c r="AC515"/>
  <c r="CT1259"/>
  <c r="W1259" s="1"/>
  <c r="AC1259" s="1"/>
  <c r="AC701"/>
  <c r="AC598"/>
  <c r="AC211"/>
  <c r="AC717"/>
  <c r="AC121"/>
  <c r="AC122"/>
  <c r="AC123"/>
  <c r="AC354"/>
  <c r="AC1580"/>
  <c r="AC1475"/>
  <c r="AC124"/>
  <c r="AC1070"/>
  <c r="AC178"/>
  <c r="AC707"/>
  <c r="AC1092"/>
  <c r="AC370"/>
  <c r="AC743"/>
  <c r="AC224"/>
  <c r="AC1331"/>
  <c r="AC329"/>
  <c r="AC1523"/>
  <c r="AC671"/>
  <c r="AC1175"/>
  <c r="AC334"/>
  <c r="AC715"/>
  <c r="AC1436"/>
  <c r="AC230"/>
  <c r="AC1121"/>
  <c r="AC754"/>
  <c r="AC749"/>
  <c r="AC1438"/>
  <c r="AC1496"/>
  <c r="AC489"/>
  <c r="AC758"/>
  <c r="AC775"/>
  <c r="AC1573"/>
  <c r="AC1132"/>
  <c r="AC1399"/>
  <c r="AC823"/>
  <c r="AC210"/>
  <c r="AC556"/>
  <c r="AC13"/>
  <c r="AC1486"/>
  <c r="AC1021"/>
  <c r="AC728"/>
  <c r="AC1481"/>
  <c r="AC1065"/>
  <c r="AC1066"/>
  <c r="AC1455"/>
  <c r="AC352"/>
  <c r="AC937"/>
  <c r="AC643"/>
  <c r="AC522"/>
  <c r="AC1318"/>
  <c r="AC1391"/>
  <c r="AC404"/>
  <c r="AC1003"/>
  <c r="AC650"/>
  <c r="AC610"/>
  <c r="AC425"/>
  <c r="AC420"/>
  <c r="AC1554"/>
  <c r="AC347"/>
  <c r="AC818"/>
  <c r="AC120"/>
  <c r="AC879"/>
  <c r="AC1358"/>
  <c r="AC672"/>
  <c r="AC1084"/>
  <c r="AC1234"/>
  <c r="AC585"/>
  <c r="AC1000"/>
  <c r="AC59"/>
  <c r="AC1398"/>
  <c r="AC1510"/>
  <c r="AC1328"/>
  <c r="AC1341"/>
  <c r="AC774"/>
  <c r="AC1365"/>
  <c r="AC407"/>
  <c r="AC1039"/>
  <c r="AC812"/>
  <c r="AC1067"/>
  <c r="AC623"/>
  <c r="AC910"/>
  <c r="AC560"/>
  <c r="AC1285"/>
  <c r="AC1415"/>
  <c r="AC173"/>
  <c r="AC1236"/>
  <c r="AC1392"/>
  <c r="AC684"/>
  <c r="AC1093"/>
  <c r="AC1337"/>
  <c r="AC196"/>
  <c r="AC605"/>
  <c r="AC1367"/>
  <c r="AC1133"/>
  <c r="AC267"/>
  <c r="AC345"/>
  <c r="AC1059"/>
  <c r="AC269"/>
  <c r="AC1577"/>
  <c r="AC1110"/>
  <c r="AC907"/>
  <c r="AC1047"/>
  <c r="AC557"/>
  <c r="AC1569"/>
  <c r="AC174"/>
  <c r="AC317"/>
  <c r="AC948"/>
  <c r="AC322"/>
  <c r="AC1106"/>
  <c r="AC956"/>
  <c r="AC1520"/>
  <c r="AC81"/>
  <c r="AC788"/>
  <c r="AC1377"/>
  <c r="AC466"/>
  <c r="AC1143"/>
  <c r="AC1144"/>
  <c r="AC436"/>
  <c r="AC348"/>
  <c r="AC346"/>
  <c r="AC437"/>
  <c r="AC1354"/>
  <c r="AC1030"/>
  <c r="AC815"/>
  <c r="AC1136"/>
  <c r="AC1349"/>
  <c r="AC457"/>
  <c r="AC813"/>
  <c r="AC685"/>
  <c r="AC284"/>
  <c r="AC1426"/>
  <c r="AC361"/>
  <c r="AC473"/>
  <c r="AC1417"/>
  <c r="AC510"/>
  <c r="AC1206"/>
  <c r="AC1478"/>
  <c r="AC262"/>
  <c r="AC1026"/>
  <c r="AC979"/>
  <c r="AC8"/>
  <c r="AC1208"/>
  <c r="AC1527"/>
  <c r="AC935"/>
  <c r="AC888"/>
  <c r="AC419"/>
  <c r="AC1563"/>
  <c r="AC1308"/>
  <c r="AC846"/>
  <c r="AC592"/>
  <c r="AC1401"/>
  <c r="AC1170"/>
  <c r="AC804"/>
  <c r="AC1579"/>
  <c r="AC285"/>
  <c r="AC480"/>
  <c r="AC45"/>
  <c r="AC641"/>
  <c r="AC1448"/>
  <c r="AC134"/>
  <c r="AC709"/>
  <c r="AC959"/>
  <c r="AC1362"/>
  <c r="AC1559"/>
  <c r="AC1061"/>
  <c r="AC304"/>
  <c r="AC313"/>
  <c r="AC1393"/>
  <c r="AC874"/>
  <c r="AC1104"/>
  <c r="AC1330"/>
  <c r="AC94"/>
  <c r="AC1112"/>
  <c r="AC431"/>
  <c r="AC802"/>
  <c r="AC905"/>
  <c r="AC27"/>
  <c r="AC282"/>
  <c r="AC481"/>
  <c r="AC925"/>
  <c r="AC637"/>
  <c r="AC179"/>
  <c r="AC58"/>
  <c r="AC532"/>
  <c r="AC101"/>
  <c r="AC1197"/>
  <c r="AC1268"/>
  <c r="AC1564"/>
  <c r="AC1276"/>
  <c r="AC986"/>
  <c r="AC571"/>
  <c r="AC1504"/>
  <c r="AC760"/>
  <c r="AC240"/>
  <c r="AC1080"/>
  <c r="AC31"/>
  <c r="AC635"/>
  <c r="AC1303"/>
  <c r="AC982"/>
  <c r="AC1078"/>
  <c r="AC1215"/>
  <c r="X718"/>
  <c r="J1582"/>
  <c r="AB1582"/>
  <c r="AC303"/>
  <c r="CT939"/>
  <c r="W939"/>
  <c r="AC939" s="1"/>
  <c r="H4"/>
  <c r="X4"/>
  <c r="Z4"/>
  <c r="AC302"/>
  <c r="AC188"/>
  <c r="I4"/>
  <c r="I1582"/>
  <c r="Y4"/>
  <c r="AC1284"/>
  <c r="AC1280"/>
  <c r="AC159"/>
  <c r="AC362"/>
  <c r="AC68"/>
  <c r="AC1449"/>
  <c r="AC291"/>
  <c r="AC309"/>
  <c r="AC691"/>
  <c r="AC590"/>
  <c r="AC1237"/>
  <c r="AC698"/>
  <c r="AC520"/>
  <c r="AC386"/>
  <c r="AC1386"/>
  <c r="AC163"/>
  <c r="AC130"/>
  <c r="AC499"/>
  <c r="AC1382"/>
  <c r="AC521"/>
  <c r="AC1444"/>
  <c r="AC21"/>
  <c r="AC494"/>
  <c r="AC1299"/>
  <c r="AC1075"/>
  <c r="AC1493"/>
  <c r="AC49"/>
  <c r="AC502"/>
  <c r="AC310"/>
  <c r="AC1169"/>
  <c r="AC54"/>
  <c r="AC583"/>
  <c r="AC338"/>
  <c r="AC601"/>
  <c r="AC192"/>
  <c r="AC392"/>
  <c r="AC33"/>
  <c r="AC248"/>
  <c r="AC1313"/>
  <c r="AC1314"/>
  <c r="AC836"/>
  <c r="AC239"/>
  <c r="AC1222"/>
  <c r="AC1218"/>
  <c r="AC373"/>
  <c r="AC148"/>
  <c r="AC751"/>
  <c r="AC15"/>
  <c r="AC1421"/>
  <c r="AC724"/>
  <c r="AC723"/>
  <c r="AC974"/>
  <c r="AC722"/>
  <c r="AC1479"/>
  <c r="AC1477"/>
  <c r="AC997"/>
  <c r="AC50"/>
  <c r="AC644"/>
  <c r="AC1567"/>
  <c r="AC231"/>
  <c r="AC1211"/>
  <c r="AC868"/>
  <c r="AC1293"/>
  <c r="AC1292"/>
  <c r="AC1294"/>
  <c r="AC1289"/>
  <c r="AC1288"/>
  <c r="AC1298"/>
  <c r="AC1296"/>
  <c r="AC1297"/>
  <c r="AC1295"/>
  <c r="AC1287"/>
  <c r="AC1291"/>
  <c r="AC305"/>
  <c r="AC314"/>
  <c r="AC1155"/>
  <c r="AC576"/>
  <c r="AC552"/>
  <c r="AC810"/>
  <c r="AC996"/>
  <c r="AC994"/>
  <c r="AC133"/>
  <c r="AC1388"/>
  <c r="AC44"/>
  <c r="AC43"/>
  <c r="AC839"/>
  <c r="AC1311"/>
  <c r="AC241"/>
  <c r="AC1446"/>
  <c r="AC156"/>
  <c r="AC155"/>
  <c r="AC127"/>
  <c r="AC1500"/>
  <c r="AC1223"/>
  <c r="AC679"/>
  <c r="AC634"/>
  <c r="AC676"/>
  <c r="AC441"/>
  <c r="AC234"/>
  <c r="AC440"/>
  <c r="AC563"/>
  <c r="AC490"/>
  <c r="AC225"/>
  <c r="AC1210"/>
  <c r="AC11"/>
  <c r="AC923"/>
  <c r="AC62"/>
  <c r="AC953"/>
  <c r="AC332"/>
  <c r="AC1031"/>
  <c r="AC792"/>
  <c r="AC1374"/>
  <c r="AC1271"/>
  <c r="AC967"/>
  <c r="AC630"/>
  <c r="AC143"/>
  <c r="AC9"/>
  <c r="AC366"/>
  <c r="AC220"/>
  <c r="AC740"/>
  <c r="AC739"/>
  <c r="AC977"/>
  <c r="AC217"/>
  <c r="AC732"/>
  <c r="AC439"/>
  <c r="AC1278"/>
  <c r="AC1416"/>
  <c r="AC1159"/>
  <c r="AC1228"/>
  <c r="AC920"/>
  <c r="AC848"/>
  <c r="AC180"/>
  <c r="AC1176"/>
  <c r="AC450"/>
  <c r="AC1546"/>
  <c r="AC555"/>
  <c r="AC1056"/>
  <c r="AC222"/>
  <c r="AC1430"/>
  <c r="AC726"/>
  <c r="AC472"/>
  <c r="AC832"/>
  <c r="AC297"/>
  <c r="AC931"/>
  <c r="AC924"/>
  <c r="AC51"/>
  <c r="AC315"/>
  <c r="AC580"/>
  <c r="AC55"/>
  <c r="AC177"/>
  <c r="AC591"/>
  <c r="AC482"/>
  <c r="AC323"/>
  <c r="AC1322"/>
  <c r="AC447"/>
  <c r="AC503"/>
  <c r="AC1242"/>
  <c r="AC710"/>
  <c r="AC405"/>
  <c r="AC449"/>
  <c r="AC1334"/>
  <c r="AC1338"/>
  <c r="AC1344"/>
  <c r="AC648"/>
  <c r="AC197"/>
  <c r="AC1179"/>
  <c r="AC1458"/>
  <c r="AC1183"/>
  <c r="AC85"/>
  <c r="AC856"/>
  <c r="AC1154"/>
  <c r="AC399"/>
  <c r="AC1188"/>
  <c r="AC646"/>
  <c r="AC1526"/>
  <c r="AC95"/>
  <c r="AC782"/>
  <c r="AC409"/>
  <c r="AC342"/>
  <c r="AC88"/>
  <c r="AC344"/>
  <c r="AC667"/>
  <c r="AC455"/>
  <c r="AC858"/>
  <c r="AC819"/>
  <c r="AC649"/>
  <c r="AC903"/>
  <c r="AC308"/>
  <c r="AC1082"/>
  <c r="AC1508"/>
  <c r="AC690"/>
  <c r="AC579"/>
  <c r="AC1387"/>
  <c r="AC247"/>
  <c r="AC244"/>
  <c r="AC243"/>
  <c r="AC1227"/>
  <c r="AC286"/>
  <c r="AC379"/>
  <c r="AC989"/>
  <c r="AC1225"/>
  <c r="AC128"/>
  <c r="AC158"/>
  <c r="AC917"/>
  <c r="AC574"/>
  <c r="AC1445"/>
  <c r="AC29"/>
  <c r="AC519"/>
  <c r="AC755"/>
  <c r="AC281"/>
  <c r="AC984"/>
  <c r="AC1499"/>
  <c r="AC871"/>
  <c r="AC632"/>
  <c r="AC633"/>
  <c r="AC753"/>
  <c r="AC20"/>
  <c r="AC567"/>
  <c r="AC233"/>
  <c r="AC488"/>
  <c r="AC1161"/>
  <c r="AC1487"/>
  <c r="AC223"/>
  <c r="AC741"/>
  <c r="AC365"/>
  <c r="AC364"/>
  <c r="AC513"/>
  <c r="AC719"/>
  <c r="AC167"/>
  <c r="AC928"/>
  <c r="AC312"/>
  <c r="AC767"/>
  <c r="AC316"/>
  <c r="AC295"/>
  <c r="AC136"/>
  <c r="AC53"/>
  <c r="AC589"/>
  <c r="AC1514"/>
  <c r="AC950"/>
  <c r="AC697"/>
  <c r="AC67"/>
  <c r="AC877"/>
  <c r="AC600"/>
  <c r="AC1240"/>
  <c r="AC770"/>
  <c r="AC955"/>
  <c r="AC1102"/>
  <c r="AC1177"/>
  <c r="AC504"/>
  <c r="AC854"/>
  <c r="AC190"/>
  <c r="AC594"/>
  <c r="AC603"/>
  <c r="AC957"/>
  <c r="AC852"/>
  <c r="AC91"/>
  <c r="AC654"/>
  <c r="AC776"/>
  <c r="AC961"/>
  <c r="AC1540"/>
  <c r="AC200"/>
  <c r="AC1008"/>
  <c r="AC799"/>
  <c r="AC1127"/>
  <c r="AC963"/>
  <c r="AC1376"/>
  <c r="AC330"/>
  <c r="AC1270"/>
  <c r="AC61"/>
  <c r="AC518"/>
  <c r="AC1300"/>
  <c r="AC1302"/>
  <c r="AC1301"/>
  <c r="AC273"/>
  <c r="AC514"/>
  <c r="AC582"/>
  <c r="AC1409"/>
  <c r="AC168"/>
  <c r="AC294"/>
  <c r="AC391"/>
  <c r="AC1166"/>
  <c r="AC1162"/>
  <c r="AC1283"/>
  <c r="AC126"/>
  <c r="AC1073"/>
  <c r="AC1424"/>
  <c r="AC1434"/>
  <c r="AC584"/>
  <c r="AC973"/>
  <c r="AC992"/>
  <c r="AC293"/>
  <c r="AC165"/>
  <c r="AC577"/>
  <c r="AC688"/>
  <c r="AC390"/>
  <c r="AC1312"/>
  <c r="AC41"/>
  <c r="AC389"/>
  <c r="AC39"/>
  <c r="AC387"/>
  <c r="AC38"/>
  <c r="AC1384"/>
  <c r="AC682"/>
  <c r="AC381"/>
  <c r="AC34"/>
  <c r="AC1081"/>
  <c r="AC383"/>
  <c r="AC1229"/>
  <c r="AC500"/>
  <c r="AC1028"/>
  <c r="AC1383"/>
  <c r="AC129"/>
  <c r="AC501"/>
  <c r="AC1310"/>
  <c r="AC762"/>
  <c r="AC1165"/>
  <c r="AC759"/>
  <c r="AC1502"/>
  <c r="AC28"/>
  <c r="AC497"/>
  <c r="AC237"/>
  <c r="AC915"/>
  <c r="AC376"/>
  <c r="AC1443"/>
  <c r="AC1219"/>
  <c r="AC277"/>
  <c r="AC19"/>
  <c r="AC275"/>
  <c r="AC479"/>
  <c r="AC235"/>
  <c r="AC495"/>
  <c r="AC829"/>
  <c r="AC3"/>
  <c r="AC478"/>
  <c r="AC229"/>
  <c r="AC492"/>
  <c r="AC228"/>
  <c r="AC1432"/>
  <c r="AC1025"/>
  <c r="AC742"/>
  <c r="AC1151"/>
  <c r="AC292"/>
  <c r="AC991"/>
  <c r="AC290"/>
  <c r="AC687"/>
  <c r="AC586"/>
  <c r="AC1315"/>
  <c r="AC686"/>
  <c r="AC765"/>
  <c r="AC42"/>
  <c r="AC838"/>
  <c r="AC37"/>
  <c r="AC245"/>
  <c r="AC36"/>
  <c r="AC1385"/>
  <c r="AC763"/>
  <c r="AC1230"/>
  <c r="AC1506"/>
  <c r="AC162"/>
  <c r="AC131"/>
  <c r="AC1505"/>
  <c r="AC160"/>
  <c r="AC32"/>
  <c r="AC1167"/>
  <c r="AC995"/>
  <c r="AC914"/>
  <c r="AC1494"/>
  <c r="AC1491"/>
  <c r="AC221"/>
  <c r="AC368"/>
  <c r="AC1428"/>
  <c r="AC1023"/>
  <c r="AC1427"/>
  <c r="AC1281"/>
  <c r="AC1074"/>
  <c r="AC1279"/>
  <c r="AC1425"/>
  <c r="AC219"/>
  <c r="AC218"/>
  <c r="AC562"/>
  <c r="AC738"/>
  <c r="AC733"/>
  <c r="AC1447"/>
  <c r="AC916"/>
  <c r="AC1503"/>
  <c r="AC835"/>
  <c r="AC573"/>
  <c r="AC1027"/>
  <c r="AC154"/>
  <c r="AC834"/>
  <c r="AC1307"/>
  <c r="AC498"/>
  <c r="AC681"/>
  <c r="AC30"/>
  <c r="AC1224"/>
  <c r="AC283"/>
  <c r="AC987"/>
  <c r="AC26"/>
  <c r="AC25"/>
  <c r="AC296"/>
  <c r="AC1381"/>
  <c r="AC873"/>
  <c r="AC831"/>
  <c r="AC1501"/>
  <c r="AC153"/>
  <c r="AC1221"/>
  <c r="AC678"/>
  <c r="AC1442"/>
  <c r="AC279"/>
  <c r="AC1220"/>
  <c r="AC496"/>
  <c r="AC278"/>
  <c r="AC569"/>
  <c r="AC983"/>
  <c r="AC372"/>
  <c r="AC150"/>
  <c r="AC870"/>
  <c r="AC1306"/>
  <c r="AC1216"/>
  <c r="AC18"/>
  <c r="AC17"/>
  <c r="AC1439"/>
  <c r="AC566"/>
  <c r="AC1440"/>
  <c r="AC493"/>
  <c r="AC565"/>
  <c r="AC981"/>
  <c r="AC147"/>
  <c r="AC1077"/>
  <c r="AC748"/>
  <c r="AC232"/>
  <c r="AC477"/>
  <c r="AC675"/>
  <c r="AC718"/>
  <c r="AC1497"/>
  <c r="AC1212"/>
  <c r="AC1076"/>
  <c r="AC746"/>
  <c r="AC629"/>
  <c r="AC980"/>
  <c r="AC1016" s="1"/>
  <c r="AC1286"/>
  <c r="AC1490"/>
  <c r="AC1024"/>
  <c r="AC1488"/>
  <c r="AC369"/>
  <c r="AC1412"/>
  <c r="AC1164"/>
  <c r="AC1495"/>
  <c r="W626"/>
  <c r="AC626"/>
  <c r="AC674" s="1"/>
  <c r="AC913"/>
  <c r="AC970"/>
  <c r="AC1163"/>
  <c r="AC276"/>
  <c r="AC355" s="1"/>
  <c r="AC1498"/>
  <c r="AC146"/>
  <c r="AC212" s="1"/>
  <c r="AC1379"/>
  <c r="AC1022"/>
  <c r="AC1071" s="1"/>
  <c r="AC624"/>
  <c r="AC139"/>
  <c r="AC486"/>
  <c r="AC471"/>
  <c r="W674"/>
  <c r="AC4"/>
  <c r="AC826"/>
  <c r="AC1202"/>
  <c r="AC1378"/>
  <c r="W970"/>
  <c r="AC511" l="1"/>
  <c r="W561"/>
  <c r="W912"/>
  <c r="AC864"/>
  <c r="AC912" s="1"/>
  <c r="W1158"/>
  <c r="AC1150"/>
  <c r="AC1158" s="1"/>
  <c r="AC1149"/>
  <c r="W355"/>
  <c r="W718"/>
  <c r="W1407"/>
  <c r="W139"/>
  <c r="W212"/>
  <c r="X1071"/>
  <c r="W471"/>
  <c r="W1378"/>
  <c r="W1149"/>
  <c r="X486"/>
  <c r="AC272"/>
  <c r="Y1476"/>
  <c r="W1581"/>
  <c r="W272"/>
  <c r="X561"/>
  <c r="W1071"/>
  <c r="W1476"/>
  <c r="W861"/>
  <c r="AC827"/>
  <c r="AC861" s="1"/>
  <c r="W125"/>
  <c r="AC5"/>
  <c r="W1277"/>
  <c r="AC1203"/>
  <c r="AC1277" s="1"/>
  <c r="W438"/>
  <c r="AC356"/>
  <c r="AC438" s="1"/>
  <c r="W508"/>
  <c r="AC487"/>
  <c r="AC508" s="1"/>
  <c r="AC1476"/>
  <c r="X1582"/>
  <c r="AC561"/>
  <c r="Y355"/>
  <c r="Y1582" s="1"/>
  <c r="Z212"/>
  <c r="Z1582" s="1"/>
  <c r="W624"/>
  <c r="AC1482"/>
  <c r="AC1581" s="1"/>
  <c r="X1378"/>
  <c r="X1016"/>
  <c r="W486"/>
  <c r="W1016"/>
  <c r="W1202"/>
  <c r="Y1202"/>
  <c r="Y1277"/>
  <c r="X1476"/>
  <c r="X1581"/>
  <c r="Y1581"/>
  <c r="W826"/>
  <c r="AC1389"/>
  <c r="AC1407" s="1"/>
  <c r="AD970"/>
  <c r="AD1582" s="1"/>
  <c r="H1581"/>
  <c r="H970"/>
  <c r="H1582" s="1"/>
  <c r="H1407"/>
  <c r="W1582" l="1"/>
  <c r="AC125"/>
  <c r="AC1582" s="1"/>
</calcChain>
</file>

<file path=xl/sharedStrings.xml><?xml version="1.0" encoding="utf-8"?>
<sst xmlns="http://schemas.openxmlformats.org/spreadsheetml/2006/main" count="10748" uniqueCount="2467">
  <si>
    <t>DISTRACCION</t>
  </si>
  <si>
    <t>AFCTADO EL CASCO URBANO. REPORTE DE LA DEFENSA CIVIL.</t>
  </si>
  <si>
    <t>ARBOLEDAS</t>
  </si>
  <si>
    <t xml:space="preserve">                                                                                                                                                                                                                                                                                                                                                                                                                                                                                                                                                                                                                                                                                                                                                                                                                                                                                                                                                                                                                                                                                                                                                                                                                                                                                                                                                                                                                                                                                                                                                                                                                                                                                                                                                                                                                                                                                                                                                                                                                                                                                                                                                                                                                                                                                                                                                                                                                                                                                                                                                                                                                                                                                                                                                                                                                                                                                                                                                                                                                                                                                                                                                                                                                                                                                                                                                                                                                                                                                                                                                                                                                                                                                                                                                                                                                                                                                                                                                                                                                                                                                                                                                                                                                                                                                                                                                                                                                                                                                                                                                                                                                                                                                                                                                                                                                                                                                                                                                                                                                                                                                                                                                                                                                                                                                                                                                                                                                                                                                                                                                                                                                                                                                                                                                                                                                                                                                                                                                                                                                                                                                                                                                                                                                                                                                                                                          </t>
  </si>
  <si>
    <t>BARRIOS CERRO GORDO. COLINAS DEL SUR, GRANADA, SAN ISIDRO, YULDAIMA, SANTOFIMIO, LA MERTINICA, LA FLORIDA, LA UNION,. SAN JOSE, 20 DE JULIO, LA CEIBA, ALCALA. BALTAZAR Y LA CEIBA SUR. REPORTE DEL CLOPAD.</t>
  </si>
  <si>
    <t>DESBORDAMIENTO SAN JUAN. COMUNIDADES DE MALAGUITA, CUELLAR, PUERTO PIZARRO LA CABECERA. CACHAJO, AGUACIRA. REPROTE DE LA DEFENSA CIVIL.</t>
  </si>
  <si>
    <t>BARRIOS SAN MIGUEL, LAS PALMAS, LAS CLARITAS, CORREGIMIENTO DE VILLAROSA, ROTINET, CIEN PESOS Y LAS COMPUERTAS.REPORTE DEL CLOPAD</t>
  </si>
  <si>
    <t>SE APOYO CON ALIMENTOS A TRAVES DEL CREPAD</t>
  </si>
  <si>
    <t>DESBORDAMIETNO QUEBRADA PRESIDENTA SECTOR COLA DEL ZORRO. EL POBLADO. REPORTE DEL CREPAD.</t>
  </si>
  <si>
    <t>DESBORDAMIENTO RIO TELEMBI, VEREDAS GUAYABAL, LA PEÑA, LAS BRISAS, EL BAJITO, REPORTE DEL CREPAD.</t>
  </si>
  <si>
    <t>AFECTADO CENTRO DE SALUD DE MURINDO. REPORTE DEL CREPAD.</t>
  </si>
  <si>
    <t>RAGONVALIA</t>
  </si>
  <si>
    <t>VEREDA CAÑO SAN JOSE, BARRIO EL CARMEN, REPORTE DEL CREPAD, NORTE DE SANTANDER.</t>
  </si>
  <si>
    <t>DESBORDAMIENTO RIO SAN JUAN. COMUNIDADES MALAGUITA, CUELLAR, PUERTRO CIZARRO, CABECERA, CHACHAJO, AGUA CLARA. REPORTE DEL SOCORRO NACIONAL Y DEFENS ACIVIL.</t>
  </si>
  <si>
    <t>DESBORDAMIENTO DEL RIO FRAILE. VEREDAS LA SONORA, EL LLANITO, EL SALADO. CORREGIMIENTO LOS CALEÑOS.  REPORTE DE LA DEFENSA CIVIL</t>
  </si>
  <si>
    <t>AFECTADA VEREDA ORO FINO. REPORTE DEL CREPAD. INCOMUNICADAS 15 VEREDAS.</t>
  </si>
  <si>
    <t>DESBORDAMIENTO QUEBRADA OA GARCIA ZONA URBANA. REPORTE DEL CREPAD.</t>
  </si>
  <si>
    <t>CRECIENTE RIO CAUCA. VEREDAS LA INSPECCION, FLORES, EL CHISPERO, LA PLAZA. SECTOR BOLOMBOLO- REPORTE DE LA DEFENSA CIVIL.</t>
  </si>
  <si>
    <t>DESBORDAMIENTO RIO CAUCA. PENDIENTE AFECTACION REPROTE DEL CREPAD.</t>
  </si>
  <si>
    <t>SOGAMOZO</t>
  </si>
  <si>
    <t>VIA AFECTADA ENTRE SOGAMOZO Y PAJARITO. REPROTE DEL CREPAD.</t>
  </si>
  <si>
    <t>VIA SOCHA - PAZ DE RIO REPORTE DEL CREPAD.</t>
  </si>
  <si>
    <t>VEREDA CARPAQUEÑO. REPORTE DEL CREPAD.</t>
  </si>
  <si>
    <t xml:space="preserve">VEREDA EL ESTANQUILLO REPORTE DEL CREPAD. </t>
  </si>
  <si>
    <t>VEREDA EL HOYO REPORTE DEL CREPAD.</t>
  </si>
  <si>
    <t>DESBORDAMIENTO CAÑO PENDEJO BARRIO MONTECARLO. REPORTE DEL CREPAD.</t>
  </si>
  <si>
    <t>PUERTO ESCONDIDO</t>
  </si>
  <si>
    <t>DESBORDAMIENTO RIOS CANALETE Y MORINDO. VEREDAS SABANITO, Y EL PLANCHON. ZONA URBANA Y ZONA RURAL. CREPAD</t>
  </si>
  <si>
    <t>VEREDA LA NATA. REPORTE DEL CREPAD.</t>
  </si>
  <si>
    <t>SECTOR SIETE DE ABRIL Y CENTRO, SAN FELIPE, SECTOR CANTEROS, CANGRJEROS.. REPORTE DEL CLOPAD.</t>
  </si>
  <si>
    <t>15 VEHICULOS ATRAPADOS POR ARROYOS Y CAIDA DE 11  ARBOLES</t>
  </si>
  <si>
    <t>VEREDA SANTA SOFIA. REPORTE DEL CREPAD.</t>
  </si>
  <si>
    <t>BARRIOS PRIMAVERA, 20 DE JULIO, SECTOR PAN DE AZUCAR. REPORTE DEL CLOPAD</t>
  </si>
  <si>
    <t>BARRIO LA SIERRA  REPORTE DEL CLOPAD Y CREPAD.</t>
  </si>
  <si>
    <t>DESBORDAMIENTO RIOS GUADUAL Y LIMONAR. AFECTADOS BARRIOS POLICARPA SALAVARRIETA, SAN JOSE, VILLA DE JESUS, ESPERANZA, Y VIRREYES. AFECTADA VIA  GUADUAS - VILLETA SECTOR ALTO DEL TRIGO. REPORTE DEL CREPAD. APOYADO POREL CREPAD.</t>
  </si>
  <si>
    <t>VISTAHERMOSA</t>
  </si>
  <si>
    <t>VILLA TINA. REPORTE DEL CREPAD.</t>
  </si>
  <si>
    <t>DESBORDAMIENTO RIO BOGOTA. SECTOR PESEBRERA,SANTA HELENA, DIEZ DE MAYO, PUERTO CABRERA, 20 DE JULIO, VICTORIA, PUERTO MONTERO, SANTA HELENA, LA CABRERA, BUENOS AIRES PARTE BAJA, PUENTE CORDOBA, EL CHIRCAL, SAN LORENZO.  REPORTE DEL CREPAD.</t>
  </si>
  <si>
    <t>CORREGIMIETNO SAN JUANITO. REPORTE DEL CREPAD.</t>
  </si>
  <si>
    <t>AFECTADA VIA LA SIERRA AL MACISO COLOMBIANO. REPORTE DEL CREPAD.</t>
  </si>
  <si>
    <t>LA ESTRELLA</t>
  </si>
  <si>
    <t>CASCO URBANO. REPORTE DEL CREPAD.</t>
  </si>
  <si>
    <t>TABIO</t>
  </si>
  <si>
    <t>VIA TABIO - SUBACHOQUE- REPORTE DEL CREPAD.</t>
  </si>
  <si>
    <t>BARRIO EL CODITO CALLE 183 CARRERA 1 E. REPORTE DE LA DEFENSA CIVIL.</t>
  </si>
  <si>
    <t>INUNDACION POR FUERTES LLUVIAS EN EL CASCO URBANO. REPORTE DEL CREPAD.</t>
  </si>
  <si>
    <t xml:space="preserve">APOYO CON SACOS DE POLIPROPILENO. REPROTAN PERDIDA DE CULTIVOS EN ZONA BANANERA, EL RETEN, PIVIJAY, GUAMAL, CIENAGA, FUNDACIÓN, TENERIFE, PEDRAZA, SALAMINA, CERRO SAN ANTONIO, PLATO SITIONUEVO, </t>
  </si>
  <si>
    <t>SE APOYA DE MANERA COMPLEMENTARIA TENIENDO EN CUENTA LA MAGNITRUD E LA EMERGENCIA</t>
  </si>
  <si>
    <t>APOYO DEL FNC MEDIANTE GIRO DIRECTO AL CLOAPD PARA LA ADQUISICON DE COMBUSTIBLEPARA LOS TRABAJOS DE PROTECCION Y REALCE DEL DIQUE QUE PROTEGE EL DISTRITO DE RIEGO.-</t>
  </si>
  <si>
    <t>21045
21452
22705
22764
42847</t>
  </si>
  <si>
    <t>ROMPIMIENTO DEL DIQUE EN EL PUNTO SANTA ANITA. 500 METROS DE ACHO. AFECTADA LA VIA LA APARTADA - AYAPEL. ALCALDE 3114216264. APOYO DEL FNC MEDIANTE GIRO DIRECTO AL CLOPAD PARA LA ADQUISICION DE COMBUSTIBLES Y LUBRICANTESPARA MOVILIZACION DE MAQUINARIAS, EQUIPOS Y MOTORESPARA REMOCION DE ESCOMBROS, LIMPIEZA DE CAÑOS, QUEBRADAS, DRENAJES Y TRANSPORTE DE AYUDAD.</t>
  </si>
  <si>
    <t>CORREGIMIENTO CAIMALITO. REPORTE DEL CREPAD.</t>
  </si>
  <si>
    <t>SE BRINDO APOYO A TRAVES DEL CREPAD.</t>
  </si>
  <si>
    <t>VEREDA SANTA HELENA. REPORTE DEL CREPAD.</t>
  </si>
  <si>
    <t>BARRIOS PUEBLO NUEVO, DOÑA NIDIA, OSPINA PEREZ Y SAN MATEO. REPORTE DEL CREPAD.</t>
  </si>
  <si>
    <t>CHINACOTA</t>
  </si>
  <si>
    <t>REPORTE DEL CREPAD. VIA CHINACIOTA - CUCUTA.</t>
  </si>
  <si>
    <t>DESBORDAMIENTO RIO SOCOMBA. VEREDAS  SOCOMBA, LAS PIÑAS, CAÑO RODRIGO  Y CARTAGENA. REPORTE DEL CREPAD.</t>
  </si>
  <si>
    <t>SECTOR TROPICAL, TUMACO, CRUCERO ESTRELLA. REPROTE DEL CREPAD.</t>
  </si>
  <si>
    <t>BARRIO EL BOSQUE, SECTOR EL HOSPITAL.REPORTE DEL CREPAD.</t>
  </si>
  <si>
    <t>DESBORDAMIENTO RIO LEBRIJA. SECTOR BAJO RIONEGRO. REPORTE DEL CREPAD</t>
  </si>
  <si>
    <t>CIUDAD BOLIVAR, BARRIO BRISAS DEL VOLADOR, REPORTE DE DEFENS CIVIL Y CRUZ ROJA.</t>
  </si>
  <si>
    <t>ENCHARCAMIENTO DE VIAS</t>
  </si>
  <si>
    <t>COLAPTO ANTIGUO TEATRO JANUA. REPORTE DEL CREPAD.</t>
  </si>
  <si>
    <t>DESBORDAMIENTO RIO CULEBRAS. REPORTE DEL CREPAD.</t>
  </si>
  <si>
    <t>PERDIDA DE CULTIVOS DE PALMA DE ACEITE, BANANO, CITRICOS Y PANCOGER PERDIDAS POR VALOR ESTIMADO DE 113 MIL MILLONES DE PESOS.</t>
  </si>
  <si>
    <t>DESBORDAMIENTO QUEBRADA TIBANICA Y RIO TUNJUELO, SECTORES 2 Y 3 BARRIOS SAN DIEGO SAN PEDRO, SAN JOSE, LOS NARANJOS, LOS LAURELES, LA ESPERANZA. REPORTE DEL FOPAE</t>
  </si>
  <si>
    <t>DESBORDAMIENTO QUEBRADA LA LIMA. CIUDAD BOLIVAR</t>
  </si>
  <si>
    <t>CARTAGO</t>
  </si>
  <si>
    <r>
      <t xml:space="preserve">DESBORDAMIENTO QUEBRADA SAN JOSE. BARRIOS SAN JOSE, SAN EPDRO, BRASIL. REPORTE DEL CREPAD. </t>
    </r>
    <r>
      <rPr>
        <b/>
        <sz val="9"/>
        <rFont val="Arial"/>
        <family val="2"/>
      </rPr>
      <t>APOYO DEL FNC MEDIANTE GIRO DIRECTO AL CLOPAD PARA ADQUISICION DE COMBUSTIBLES Y LUBRICANTESPARA LIMPIEZA DE CAÑOS, MOVIMIENTO DE TIERRAS Y MOVBILIZACION DE ESCOMBROS, DEBIDO A LA TEMPORADA INVERNAL.</t>
    </r>
  </si>
  <si>
    <t>SAN ANDRES DE SOTAVENTO</t>
  </si>
  <si>
    <t>APOYO DEL FNC MEDIANTE GIRO DIRECTO AL CLOPAD PARA APOYAR LA CONSTRUCCION DEL MURO DE CONTENCION Y CERRAMIENTO EN EL HOGAR MULTIPLE</t>
  </si>
  <si>
    <t xml:space="preserve">                                                                                                                                                                              </t>
  </si>
  <si>
    <t>DESBORDAMIENTO CIENAGA GRANDE DEL BAJO SINU. BARRIOS CEDROS, SAN ROQUEL BRISAS DEL RIO, CANDELARIA, Y MORROSQUILLOZONA URBANA BARRIOS  ZARABANDA, LA SUBIDITA, MORROSQUILLO Y SAN ROQUE REPORTE DE LA DEFENSA CIVIL APOYO DEL FNC MEDIANTE GIRO DIRECTO AL CLOPAD PARA REFORZAMIENTO DEL DIQUE DEL CORREGIMIENTO GOMEZ - PALITO ($49.978.800 LINEA 4) Y COMBUSTIBLE Y MOTOBOMBAS ($60.000.000 LINEA 2)</t>
  </si>
  <si>
    <t>2
4</t>
  </si>
  <si>
    <t>DESBORDAMIENTO QUEBRADA LA VIEJA. BARRIOS BRISAS DEL RIO, LA PLATANERA, ARENERA, VILLA JULIAN, ENTRERIOS, VILLA CAROLINA. REPORTE DE LA DEFENSA CIVIL.</t>
  </si>
  <si>
    <t>DESBORDAMIENTO QUEBRADA LA FRUTERA. REPROTE DE LA DEFENS ZACIVIL.</t>
  </si>
  <si>
    <t>CRECIENTE SUBITA CAÑO RODRIGO VEREDA CAÑO RODRIGO. REPORTE DEL CREPAD.</t>
  </si>
  <si>
    <t>CRECIENTE RIO ATRATO, SECTOR BAJO ATRATO. REPORTE DEL CREPAD.</t>
  </si>
  <si>
    <t>DESBORDAMIENTO RIO BAUDO CORREGIMIENTO EL LLANO.  REPORTE DE LA CRUZ ROJA</t>
  </si>
  <si>
    <t>CRECIENTE SUBITA DEL RIO SUMAPAZ. REPORTE DEL CREPAD.</t>
  </si>
  <si>
    <t>CRECIENTE RIO MAGDALENA. SECTOR ISLA PUERTO ROJO, RAYADEROS, HIERBA BUIENA, BARRIO PIMIERO DE MAYO.. REPORTE DEL CREPAD.</t>
  </si>
  <si>
    <t xml:space="preserve">FUERTES LLUVIAS. BARRIOS EL PARAISO, SECTOR BAHONDO. REPORTE DE DEFENSA CIVIL. </t>
  </si>
  <si>
    <t>ONZAGA</t>
  </si>
  <si>
    <t>DESBORDAMIENTO RIO CHAGUACA. VEREDA CHAGUACA. AFECTADA VIA QUE CONDUCE A LA VEREDA CHAGUACA REPORTE DEL CREPAD.</t>
  </si>
  <si>
    <t>INUNDACION POR FUERTES LLUVIAS EN LOS BARRIOS MIRAFLORES, BUENOS AIRES Y EL PARAISO. REPORTE DEL CREPAD</t>
  </si>
  <si>
    <t>VEREDA RODESIA CORREGIMIENTO SANTA ISABEL. REPORTE DEL SOCORRO NACIONAL.</t>
  </si>
  <si>
    <t>PERDIDA DE CULTIVOS DE PALMA, AVES DE CORRAL. CERDOS, CHIVOS Y GANADO.</t>
  </si>
  <si>
    <t>DESBORDAMIENTO RIO UPIA, VEREDA EL HORQUETON, LOS PADROTES, CAIMAN ALTO Y BAJO, LAS ISLAS, LOS GEMELOS, LOS TRONCOS, CARACOLI, SANTA HELENA DE UPIA. REPORTE DEL CREPAD.</t>
  </si>
  <si>
    <t>PERDIDA DE CULTIVOS DE PLATANO, YUCA Y ARROZ, PERDIDA DE ANIMALES DE CORRAL, CERDOS, OVEJAS Y GANADO.</t>
  </si>
  <si>
    <t>DESBORDAMIENTO RIO TOCARIA, VEREDAS LA CAPILLA, GUACHARACOS, EL PRETEXTO LA YOPALOSA. REPORTE DEL CREPAD.</t>
  </si>
  <si>
    <t>CERRO DE LA POPA. REPORTE DEL CLOPAD.</t>
  </si>
  <si>
    <t>DESBORDAMIENTO ARROYO SAN BLAS. REPORTE DEL CREPAD.</t>
  </si>
  <si>
    <t>VEREDA LA CANDELARIA. SECTOR QUEBRADA LA MORENA. PERDIDA DE PUENTE VEHICULAS Y VEREDA SAN JOSE. DESBORDAMEINTO QUEBRADA SAN ANTONIO Y CAÑOS NEGROS. AFECTADA VIA FOMEQUE - SAN JUANITO. REPORTE DEL CREPAD.</t>
  </si>
  <si>
    <t>VEREDAS PALOMIA, ALTAMIZAR, CONDE, ABALOCHE. REPORTE DEL CREPAD.</t>
  </si>
  <si>
    <t>SECTORES CAÑAVERAL, PUEBLO NUEVO, LA NUBE, TRIBUNA, ARAÑALES, EL GOLFO, SAN MARTIN, LA TRAVESIA, COJONES, COFRE, LLANO GRANDE, SAN LUIS, REPORTE DEL CREPAD.</t>
  </si>
  <si>
    <t>SECTORES MONTERREY, ALASKA, PUEBLO NUEVO, LA PRIMAVERA, JANEIRO, LA HABANA, MIRAVALLE, LA MAGDALENA, EL TOPACIO, EL CRUCERO, NOGALES, LA PALOMERA, PUERTO BERTIN, LA TROZADA, LA MESA, LA PLAYA, EL PLACER, EL CARMELO. REPORTE DEL CREPAD.</t>
  </si>
  <si>
    <t>RIOFRIO</t>
  </si>
  <si>
    <t>SECTORES LOS ALPES, PORTOBELLO, E CONTROL, LA ITALIA, SAN MARINO, MIRAVALLE, PUERTO ARTURO, EL RUBI, EL BOSQUE, COROZAL, PALMAS, MORRO PLANCHO, LA ZULIA, LA JUDEA, EL JAGUAL,  CALABAZAS, SAN PABLO, LA VIGOROZA, LOS ESTRECHOS, MADRIGAL, PORTUGAL DEL CARMEN, PUERTO FENICIA, LA CRISTALINA,. RIOFRIO BAJO, MIRAVALLE BAJO. RPEORTE DEL CREPAD.</t>
  </si>
  <si>
    <r>
      <rPr>
        <sz val="9"/>
        <rFont val="Arial"/>
        <family val="2"/>
      </rPr>
      <t xml:space="preserve">SECTORES BARRIO SAN FRANCISCO, SAN ANTONIO, EL CHANCO, EL LAZARO, BOHIO BUENAVISTA, SABANAZO, LA PRADERA, EL GUINEO, EL CEDRO, LA CONSOLIDA, PATIO BONITO, LA QUIEBRA, EL CHONTADURO. </t>
    </r>
    <r>
      <rPr>
        <b/>
        <sz val="9"/>
        <rFont val="Arial"/>
        <family val="2"/>
      </rPr>
      <t xml:space="preserve">   APOYO DEL FNC MEDIANTE GIRO DIRECTO AL CLOPAD PARA ADQUISICION DE COMBUSTIBLE PARA LA OPERACIÓN DE LA MAQUINARIA Y TRASLADO DE MATERIAL PARA EL REALCE DEL DIQUE DE PROTECCION DEL DISTRITO DE RIEGO.</t>
    </r>
  </si>
  <si>
    <t xml:space="preserve">CALIMA DARIEN </t>
  </si>
  <si>
    <t>INUDNACION POR FUERTES LLUVIAS. BARRIOS CANADA, LA PALMA, CORREGIMIENTO RIO BRAVO, VEREDAS EL DIAMANTE, LA FLORIDA, LA GAVIOTA, SAN JOSE, EL BOLEO. REPORTE DEL CREPAD.</t>
  </si>
  <si>
    <t>DESBORDAMIENTO RIO NAYA. CORREGIMIENTO CONCEPCION REPROTE DEL CREPAD.</t>
  </si>
  <si>
    <t>DESBORDAMIENTO RIO MAGDALENA. BRRIOS RO0BLES, TASAJERA Y NERVID. REPORTE DE DEFENSA CIVIL.</t>
  </si>
  <si>
    <t>DESBORDAMIENTO RIO MAGDALENA Y ARROYO RASTRO. BARRIOS ARMERO. CORREGIMIENTOS GAMBOTE Y SAN AGUSTIN. REPORTE DE LA DEFENSA CIVIL.</t>
  </si>
  <si>
    <t>DESBORDAMIENTO ARROYO LARGO. REPORTE DELA DEFENSA CIVL</t>
  </si>
  <si>
    <t xml:space="preserve">CORREGIMIETNO LAS PIEDRAS. REPORTE DE DEFENSA CIVIL. </t>
  </si>
  <si>
    <t>REPORTE DE LA DEFENSA CIVIL.ZONA INDUSTRIAL, BARRIO POLICARPA, CRESPITO FREDONIA. LA POPA, ZONA DE MAMONAL</t>
  </si>
  <si>
    <t>CORREGIMIENTO SICERIN, DESBORDAMEINTO CANAL DEL DIQUE. REPORTE DE DEFENSA CIVIL.</t>
  </si>
  <si>
    <t>SAN ANTONIO</t>
  </si>
  <si>
    <t>VEREDA SAN JORGE, REPORTE DE DEFENSA CIVIL}</t>
  </si>
  <si>
    <t>SAMANA</t>
  </si>
  <si>
    <t>CASCO URBANO. REPORTE DEL CREPAD</t>
  </si>
  <si>
    <t>DESBORDAMIENTO RIO MAGDALENA. BARRIO PRIMERO DE MAYO. REPROTE DEL CREPAD.</t>
  </si>
  <si>
    <t>REPROTE DEL CREPAD. BARRIO EL INSTITUTO, , EL CENTRO, EL MOLINO, VEREDAS SILASQUILLO, SAN MIGUEL, PEÑONCITO ORIENTAL</t>
  </si>
  <si>
    <t>DESBORDAMIENTO RIO CAUCA, ZONA RURAL Y CORREGIMEINTOS JUANCHITO, DOMINGO LARGO, CALITUBOS, PUEBLONUEVO. REPORTE DE LA DEFENSA CIVIL.</t>
  </si>
  <si>
    <t>BARRIO LA GABRIELA, SECTOR CALLE VIEJA.CLOPAD, CRUZ ROJA Y MINPROTECCION SOCIAL.</t>
  </si>
  <si>
    <t>REPROTE DEL CREPAD Y CLOPAD CIAS EL RECREO - PUENTE FIERRO, LA ZANJA - GUACHICONO, ARBELA - LOS PLANES, SAN JOSE - LETICIA. PUENTES: LA ZANJA, PANCITARA, PUENTE LA PINTADA, PUENTE EL PALMAR, PUENTE EL DIVISO.</t>
  </si>
  <si>
    <t>PERDIDA DE CULTIVOS DE CAFÉ, CAÑA, Y PANCOGER.</t>
  </si>
  <si>
    <t>PIENDAMO</t>
  </si>
  <si>
    <t>REPORTE DEL CREPAD. BARRIO NACIONAL SECTOR URBANO. VAIS ALTO PIENDAMO - SAN ISIDRO, EL CARMEN CAMPO ALEGRE, SAN PEDRO - LA MINA. AFECTADA BIBLIOTECA DE MUNICIPIO</t>
  </si>
  <si>
    <t xml:space="preserve">VEREDAS UFUGU, GUALOTO, SAUCE, EL MARQUEZ, LOMA ABAJO, JIGUAL, PINZON, FLORIDA, LOMA GRANDRE, LA DESPENSA, BARRAGA VIEJA, EL CEFIRO, EL ALTILLO, PORVENIR, PORTACHUELO, EL DIVISO, LA LAJA, PARRAGA, SANTA CLARA, LA SOLEDAD, CHONTADURO, PARRGA VIEJO, PAN DE AZUCAR, PINZON, EL RETIRO, ALTO DE LAS YERBAS, BELLA VISTA. GOLONDRINAS, BERLIN, PALO BLANCO, GUAYACANAL, PUERTO LLAVE, EL LIBANO, EL SAUCE, EL CHURO TABLON, GUALOTO, EL RAMAL, BELLO HORIZONETE, EL MARQUEZ , LA VIOLETA, GUISABALO, LA FLORIDA JIGUAL, PEÑA BLANCA Y SOLEDAD REPORTE DEL CREPAD. ACUEDUCTOS DE CHONTADURO, PORTACHUELO, PUERTO LLAVE, PALOBLANCO, EL DIVISO . </t>
  </si>
  <si>
    <t xml:space="preserve">SECTORES SAN LORENZO, TRUJILLO, LA CARBOENRA, CHALGUAYACOI, LOS AZULES, BELLO HORIZONTE, SAN JUAN, LOS MILAGROS, PANCHI, LERMA, PALMITAS, RIO BLANCO. VIAS BOLIVAR- SAN LORENZO, AGUAGORDA - EL CARMEN, LOS MILAGROS - SAN JUAN. PANCHE - SAN JUAN, PALMITAS - RIO BLANCO, GUAYABITAS - CARBONERA, CARBONERA - LA MONJA, LA PLAYA - LA ESTRELLA , BOQUERON - GUADUA , BOQUERON - BOLIVAR., ESCUELA VEREDA AGUAS, ACUEDUCTO DE BOLIVAR SAN LORENZXO TRUJILLO, CARBONERA, CHALGUAYACO, LOS AZULES, BELLO HORIZONTE. </t>
  </si>
  <si>
    <t>DESBORDAMIETNO RIO PATIA. REPORTE DEL CREPAD. VIAS BALBOA - ARGELIA, EL PORVENIR - LA BEMERMEJA, EL CRUCE - LA JOAQUINA, SAN ALFONSO - MONARES, LA PALMA - EL JARDIN, EL PORVENIR - SAN ANTONIO, LA CABAÑA - VERSALLES, LA CABAÑA - LA COCHA. ESCUELA VEREDA LA JOAQUINA, CENTROS DE SALUD DE BERMEJA BAJA, SAN ALFONSO, PURETO.</t>
  </si>
  <si>
    <t>CULTIVOAS DE CAFÉ, AÑA, PLATANO,PANCOGER, FRUTALES, YLULO.</t>
  </si>
  <si>
    <t>ALMAGUER</t>
  </si>
  <si>
    <t xml:space="preserve">SECTORES EL PROVENIR, EL PLATANILLAL, EL BOQUERON, LA CHORRERA, EL CAIRO, BELEN, PUEBLO NUEVOS, EL PLACER, EL HATO, QUINTERO, TUNURCO, LAS PIEDRAS, CUCHICAMA, HATONUEVO, EL RETIRO, EL PALCER, SN PEDRO, LAS GUACAS, LAS CRUCES. </t>
  </si>
  <si>
    <t>CORREGIMIENTOS SANTA LETICIA, PALETARA, COCONUCO, VEREDS LOS ARRAYANES, PATIO BONITO, EL ROBLE, EL AGACATAL, SAN JOSE, CUARE, PISANRABO, SAN BARTOLO, RIOCLARO, CENTRO PALETARA.</t>
  </si>
  <si>
    <t>REPORTE DEL CREPAD SECTORES CORREGIMIENTO EL ROSARIO, EL HATO, CUCHILLA, MARSELLA, LOS ARBOLES, EL CAMPO, BELLA VISTA, CERRO BLANCO.</t>
  </si>
  <si>
    <t>SECTOR BLANCO, POERDIDA DE CULTIVOS Y VIVIENDAS. REPORTE DEL CREPAD. viasCHITA - LA UVITA, CHITA - JERICO, CHITA - EL EMPALME, CHITA - EL COCUY.</t>
  </si>
  <si>
    <t xml:space="preserve">DESBORDAMIENTO RIO ARIGUANI. CORREGIMIENTO SAN JOSE Y PUEBLO NUEVO. REPORTE DE LA DEFENSA CIVIL. EL CLOPAD ENVIA INFORME, PERO </t>
  </si>
  <si>
    <t>SILVANIA</t>
  </si>
  <si>
    <t>VEREDA GALILEA. REPORTE DEL CREPAD.</t>
  </si>
  <si>
    <t>PERDIDA DE CULTIVOS DE CAFÉ, PLATANO, YUCA</t>
  </si>
  <si>
    <t>ALGECIRAS</t>
  </si>
  <si>
    <t>VEREDA CASA ROSINES, REPORTE DEL CREPAD.</t>
  </si>
  <si>
    <t>VIA ALGECIRAS - VALPARAISO. SECTORES PEÑAS BLANCAS, LA LAGUNA, MANZANARES, ALTO CIELO, POMO, QUIOSCO, SAN ANTONIO, EL PUENTE, EL GUAYABO, Y VEREDA QUEBRADON NORTE, POTRERO GARNDE Y SAN ANTONIO, CORREGIMIENTO SANTA ANA. REPORTE DEL CRPAD.</t>
  </si>
  <si>
    <t>VEREDAS LA GRANJA, LA CABAÑA, CAPAROSAL, LA UNION. REPORTE DEL CREPAD.</t>
  </si>
  <si>
    <t>REPORTE DEL CREPAD. VEREDAS HUEVITA Y CAITAL Y LOS PINOS. AFECTADA VIA QUE COMUNICA EL CASCO URBANO CON LA VEREDAS HUEVITA Y CAITAL.</t>
  </si>
  <si>
    <t>BARRIO LA INDEPENDENCIA, LAS AMERICAS Y MONSERRATE. REPORTE DE LA DEFENSA CIVIL</t>
  </si>
  <si>
    <t>INUNDACION POR FUERTES LLUVIAS. BARRIOS LOS GUADUALES, TIMANCO, BUENOS AIRES, VILLA OSORIO, VILLA FERR, CALLE 14 CON CARRERAS 12 16 Y 17. REPORTE DEL CLOPAD.</t>
  </si>
  <si>
    <t>CALLE 2 D 28C 18. REPORTE EL CREPAD.</t>
  </si>
  <si>
    <t>CRECIENTE DE LA QUEBRADA LA NUTRIA. BARRIOS ESTADIO Y ALVARO SILVA. REPORTE DEL CREPAD.</t>
  </si>
  <si>
    <t>CASCO URBANO QUEBRADA RIO VERDE. REPORTE DEL CREPAD.</t>
  </si>
  <si>
    <t>CALLE 4 CARRERA 4 Y 6. REPORTE DEL CREPAD.</t>
  </si>
  <si>
    <t>SALADOBLANCO</t>
  </si>
  <si>
    <t>ACEVEDO</t>
  </si>
  <si>
    <t>VEREDA MARTICA. REPROTE DEL CREPAD.</t>
  </si>
  <si>
    <t>BARRIO LA ISLA, CONDOMINIO EL PORTAL DEL ORIENTE. REPORTE DEL CREPAD.</t>
  </si>
  <si>
    <t>BARRIO CLAVELLINES.REPORTE DEL CREPAD.</t>
  </si>
  <si>
    <t>BARRIO LA CRUZ Y LA FERIA CARRERA PRIMERA CALLE 13, REPORTE DEL CREPAD.</t>
  </si>
  <si>
    <t>BARRIO LAS AMERICAS RREPORTE DEL CREPAD.</t>
  </si>
  <si>
    <t>SECTOR TUNGURAUA. VIA YAGUARA HOBO, MINA CHOCO.REPROTE DEL CREPAD.</t>
  </si>
  <si>
    <t>BARRIO CENTRO CALLE 3 Y 4 BARRIO AVENIDA PASTRANA Y DESLIZAMIENTOEN CASCO URBANO. REPORTE DEL CREPAD.</t>
  </si>
  <si>
    <t>BIOTA</t>
  </si>
  <si>
    <t>VEREDA NEPTUNA. REPORTE DEL CREPAD. DESBORDAMIENTO RIO NEGRO, REPORTE DEL CREPAD.</t>
  </si>
  <si>
    <t>VEREDAS CORDOBA, DINDAL, CAMBRAS, INSPECCIONES, SAN PEDRO, SAN CARLOS. REPORTE DEL CREPAD.</t>
  </si>
  <si>
    <t>TIBACUY</t>
  </si>
  <si>
    <t>VEREDA SAN JOSE DE BAJO. REPORTE DEL CREPAD.</t>
  </si>
  <si>
    <t>DESBORDMAIENTO CAÑO TIBANICA. BARRIOS OLIVARES, LA COMUNA 2, LOMA LINDA LA CAPILLA, BARRIO EL PROGRESO. SILIO OLIVAR Y EL DINREPORTE DEL CREPAD.</t>
  </si>
  <si>
    <t>REPORTE DEL CLOPAD</t>
  </si>
  <si>
    <t>BARRIO ALTO VILLA QUENPIS. REPORTE DEL CREPAD.</t>
  </si>
  <si>
    <t>SECTOR CASA DE TABLA. DESBORDAMEINTO RIO CRISTALINO. REPORTE DEL CREPAD.</t>
  </si>
  <si>
    <t>PERDIDA EN CULTIVAS DE PLATANO, MAIZ, CAFÉ Y AVES DE CORRAL.</t>
  </si>
  <si>
    <t>LOCALIDAD DE CIUDAD BOLIVAR. BARRIO DIVINO NIÑO, PARAISO Y SAN JOAQUIN Y LOCALIDAD DE SAN CRISTOBAL BARRIO NUEVO HORIZONTE.  REPORTE DE DEFENSA CIVIL.</t>
  </si>
  <si>
    <t>BARRIOS CHAMBACU, BRISAS DEL MAGDALENA ALTO Y BAJO Y CARACOLI ALTO Y BAJO. REPORTE DEL CREPAD. DESBORDAMIENTO RIO MAGDALENA.</t>
  </si>
  <si>
    <t>VEREDAS LA PEÑA, SECTOR JRUSALEN, COSCUEZ, CASA ROJA, SANTA BARBARA Y PORVENIR. REPORTE DEL CREPAD.</t>
  </si>
  <si>
    <t>VEREDA DANUBIO REPORTE DEL CREPAD.</t>
  </si>
  <si>
    <t>BARRIO LOS ANGELES. REPORTE DEL CREPAD.. DESBORDAMIENTO QUEBRADA PICONA Y SAN AGUSTIN.</t>
  </si>
  <si>
    <t>FILANDIA</t>
  </si>
  <si>
    <t>SECTOR CENTRO, REBOSAMIENTO DE ALCANTARILLADO. REPORTE DEL CREPAD.</t>
  </si>
  <si>
    <t>ROBERTO PAYAN</t>
  </si>
  <si>
    <t>QUINCE VEREDAS AFECTADAS . REPORTE DEL CREPAD.</t>
  </si>
  <si>
    <t>VIA QUE CONDUCE DE PASTO A LA CABECERA MUNICIPAL.</t>
  </si>
  <si>
    <t>VEREDAS ESCALERAS, EL VERGEL, LA FLORIDA. REPORTE DEL CREPAD. VIA QUE CONDUCE DE LA LLANADA A LOS ANDES.</t>
  </si>
  <si>
    <t>CUASPUD</t>
  </si>
  <si>
    <t>SEIS VIAS TERCIARIAS Y COLAPSO DE PUENTE EN LA VIA MACAS - RODEO</t>
  </si>
  <si>
    <t>FUNES</t>
  </si>
  <si>
    <t>VIA QUE CONDICE DE PILCUAN A FUNES Y VIA DE FUNES A CHAPAL Y DE CHAPAL A CHITARRAN. REPORTE DEL CREPAD.</t>
  </si>
  <si>
    <t>MAYAMA</t>
  </si>
  <si>
    <t>VIA SECTOR DE LAS PEÑAS BLANCAS ZONA DE GUABO.</t>
  </si>
  <si>
    <t>VIA PANOYA - TAMINANGO Y TAMINANGO - EL PARAMO</t>
  </si>
  <si>
    <t>VIAS OSPINA - MANZANO. GUAQUIRAN - SAN MIGUEL, SAN MIGUEL - SAN VICIENTE, OSPINA - GUAQUIRAN, GUAQUIRAN - SAN JOSE, GUAQUIRAN - SAN ISIDRO, SAN ISIDRO - SAN ANTONIO, SAN ISIDRO - VILLA DEL SUR, VILLA EL SUR - LA FLORIDA, VILLA DEL SUR CUNCHILA, CUNCHILA - GAVILANES, CUNCHILLA - LAS MERCEDES, LAS MERCEDES - CUADQUIRAN, LAS MERCEDES - VILLA DEL SUR, SAN MIGUEL - SAN JOSE.REPORTE DEL CREPAD</t>
  </si>
  <si>
    <t>POTOSI</t>
  </si>
  <si>
    <t>VIA CASCO URBANO Y PUENTES LAS LAJAS Y CHIGUACOS.</t>
  </si>
  <si>
    <t>ONCE VIAS. ESCUELA JOHN F KENNEDY. REPORTE DEL CLOPAD.</t>
  </si>
  <si>
    <t>CHARALA</t>
  </si>
  <si>
    <t>ENCISO</t>
  </si>
  <si>
    <t>LEBRIJA</t>
  </si>
  <si>
    <t>MOGOTES</t>
  </si>
  <si>
    <t>PIEDECUESTA</t>
  </si>
  <si>
    <t>SAN JOAQUIN</t>
  </si>
  <si>
    <t>BARRIO SAN ANDRESITO, EL CERO, LA Y,  YARIGUIES, SANTA ANA, 30 DE AGOSTO. REPROTE DEL CLOPAD. VEREDA LA COLORADA. VIA A SAN VICENTE. REPORTE DEL CREPAD.SE SOLICITA AL CREPAD CONCRETAR APOYO.</t>
  </si>
  <si>
    <t>TONA</t>
  </si>
  <si>
    <t>ZAPATOCA</t>
  </si>
  <si>
    <t>APOYO DEL FNC MEDIANTE GIRO GIRECTO AL CLOPAD PARA LA PROTECCION Y CANALIZACION, DEL ARROYO EN EL SECTOR BARRIO 7 DE ABRIL, CABERA CABECERA MUNICIPAL DE LOS PALMITOS.</t>
  </si>
  <si>
    <t>BARRIO LASCA. PARTE ALTA Y CERROS ORIENTALES Y BARRIO LAS DELICIAS SEGUNDO SECTOR. . REPORTE DEL CLOPAD.</t>
  </si>
  <si>
    <t>DESBORDAMIENTO RIO PAMPLONITA. BARRIO LA ISLA, REPORTE DEL CREPAD.</t>
  </si>
  <si>
    <t>DESBORDAMIENTO RIO ZULIA. ZONA RURAL Y CORREGIMIENTOS PUERTO LEON Y PUERTO VILLAMIZAR. REPORTE DEL CLOPAD</t>
  </si>
  <si>
    <t>SARDINATA</t>
  </si>
  <si>
    <t>AFECTADO MURO DE CONTENCION.</t>
  </si>
  <si>
    <t>DESBORDAMIENTO RIO TELEMBI. REPORTE DEL CLOPAD Y CREPAD. EL CREPAD MEDIANTE OFICIO DEL 1 DE OCTUBRE DA A CONOCER LAS ACCIONES ADELANTADAS A NIVEL REGIONAL MEDIANTE EL SUMINISTRO DE ASISTENCIA HUMANITARIA POR VALOR DE 196 MILLINES DE PESOS Y 10 TONELADAS DE ARROZ Y 5 TONELADAS DE AZUCAR DONACION DE LA DIAN.</t>
  </si>
  <si>
    <t>ADICIONALMENTE SE APOYO A TRAVES DEL DEPARTAMENTO</t>
  </si>
  <si>
    <t>GUADALAJARA DE BUGA</t>
  </si>
  <si>
    <t>VEREDA EL JANEIRO, VEREDAS LA MARIA  Y MIRAVALLE SECTOR PORVENIR, PALOMERA, PUERTO BERLIN, CARMELO. . VIA LA MAGDALENA - EL JANEIRO VIA EL PLACER - LA PISCINA, EL PLACER - LAS DELGADITAS, ALASKA -MONTERREY. REPORTE DEL CREPAD. SE REMITE AL CREPAD PARA EVALUACION</t>
  </si>
  <si>
    <t>BARRIO LOS PEDREGALES ALTO.REPORTE DE DEFENSA CIVIL.</t>
  </si>
  <si>
    <t>BARRIOS EL TRIUNFO GALAN, BOQUIA, Y EL CORREGIMIENTO DE BETULIA. REPORTE DEL CLOPAD Y DEFENSA CIVIL</t>
  </si>
  <si>
    <t>BARRIO BREITON. REPORTE DEL CREPAD.</t>
  </si>
  <si>
    <t>REPORTE DEL CREPAD EL CASCO URBANO SE ENCUENTRA INCOMUNICADO.</t>
  </si>
  <si>
    <t>FALAN</t>
  </si>
  <si>
    <t>PALOCABILDO</t>
  </si>
  <si>
    <t>VEREDA PAJUI. SE ENCUENTRA INCOMUNICADA LA POBLACION REPORTE DEL CREPAD.</t>
  </si>
  <si>
    <t>CHAPARRAL</t>
  </si>
  <si>
    <t>DESBORDAMIENTO QUEBRADA LEMAYA. EN EVALUACION. REPORTE DEL CREPAD.</t>
  </si>
  <si>
    <t>SECTOR LA CUCHARITA. REPORTE DEL CREPAD Y CLOPAD. SOLICITAN REGISTRO DE LA EMERGENCIA EN LA BASE DE DATOS</t>
  </si>
  <si>
    <t>DESBORDAMIENTO RIO MAGDALENA, CORREGIMIENTOS SAN SEBASTIAN Y BARBOSA. REPORTE DEL CREPAD</t>
  </si>
  <si>
    <t>CORREGIMIENTO NARIÑO, REPORTE DEL CREPAD.</t>
  </si>
  <si>
    <t>VEREDA RIO GRIS SAN JUAN. REPORTE DEL CREPAD.</t>
  </si>
  <si>
    <t>GACHETA</t>
  </si>
  <si>
    <t>ZONA RURAL REPORTE EL CREPAD.</t>
  </si>
  <si>
    <t>233
232
277
21509</t>
  </si>
  <si>
    <t>279
21509</t>
  </si>
  <si>
    <t>251
280
21509</t>
  </si>
  <si>
    <t>CASERIO EL TARRITO. REPORTE DEL CREPAD. TAPONADA VIA OCAÑA - CUCUTA. SE SOLICITA AL CREPAD EVALUAR LA SITUACION.</t>
  </si>
  <si>
    <t>SUSACON</t>
  </si>
  <si>
    <t>ENTRERIOS</t>
  </si>
  <si>
    <t>DESBORDAMIENTO RIO QUEBRADA TORURA. REPORTE DEL CREPAD.</t>
  </si>
  <si>
    <t>AFECTADOS DOS NEGOCIOS.</t>
  </si>
  <si>
    <t>AFECTADO CASCO URBANO. REPORTE DEL CREPAD.</t>
  </si>
  <si>
    <t>BARRIO EL BOSQUE. REPORTE DEL CREPAD.</t>
  </si>
  <si>
    <t>AFECTADO TRES VEHICULOS POR CAIDA DE ARBOLES</t>
  </si>
  <si>
    <t>VEREDA BOYAGA, REPORTE DEL CREPAD.</t>
  </si>
  <si>
    <t>MOLAGAVITA</t>
  </si>
  <si>
    <t>BARRIOS ROCIO ALTO, RIO, CORREGIMIENTO DE PUERTO CABRERA. REPORTE DEL CLOPAD</t>
  </si>
  <si>
    <t>VEREDA SN MIGUEL CABILDO INDIGENA DE INGA. REPORTE DE DEFENSA CIVIL.</t>
  </si>
  <si>
    <t>270
297
21712</t>
  </si>
  <si>
    <t>APOYO DEL FNC MEDIANTE GIRO DIRECTO AL CLOPAD PARA APOYAR LA RECUPERACION DE LAS VIAS TERCIARIAS DE BUENAVISTA - SAUCES - PLACER - PALO NEGRO - LA CENTRAL; BUIENAVISTA - LA GRANJA - LOS SAUCES; BUENAVISTA - EL BALSO - RIO VERDE; EL BALSO - LAS PIÑAS; JUANES - LA PICOTA.</t>
  </si>
  <si>
    <t>APOYO DEL FNC MEDIANTE GIRO DIRECTO AL CLOPAD PARA LA ADQUISICION DE COMBUSTIBLE PARA LA ADECUACION DE LAS VIAS SIBERIA BAJA, LA ESPAÑOLA, JARDIN BAJO, JARDIN ALTO, ALTAMIRA, GUAYAQUIL BAJO, GUAYAQUIIL ALTO, TRAVESIAS, GUAYABAL, SISNEROS, MEDIA CARA, LA SOLEDAD, BELLAVISTA, LA CONCHA - EL RECREO, LA CONCHA . CARNICEROS, BRISAS - TRAVESIAS.</t>
  </si>
  <si>
    <t>PIJAO</t>
  </si>
  <si>
    <t>APOYO DEL FNC MEDIANTE GIRO DIRESTO AL CLOPAD PARA LA ADQUISICION DE COMBNUSTIBLES Y LUBRICANTESPARA LA REHABILITACION DE LAS VIAS LA MAICENA - GUASCAS, PUENTE TABLA - PATIO BONITO - PUNTAS, LA QUIEBRA - LA PALMERA, ARENALES, LOS JUANES- LA PUNTA, PIJAO- GUAMAL- PIZZARRAS, PUENTE TABLA - LA CAMPECINA - LA MARIELA, PIJAO - ARENALES - LA MARIELA, BARRAGAN - BERLIN, PIJAO - LA QUIEBRA- CARNICEROS, PIJAO - RIO AZUL, ARENALES - PUENTE TABLA, RIO AZUL - EL SINABRIO - LA PUNTA, LA QUIEBRA - CARNICEROS.</t>
  </si>
  <si>
    <t>TOLEDO</t>
  </si>
  <si>
    <t>FRONTINO</t>
  </si>
  <si>
    <t>MIRANDA</t>
  </si>
  <si>
    <t>PERDIDA DE CULTIVOS DE YUCA, PLATANO, CAÑA, ARROZ, MAIZ Y CACAO</t>
  </si>
  <si>
    <t xml:space="preserve">ACUEDUCTOS AFECTADOS DE VEREDAS AGUABLANCA Y LA HONDA. </t>
  </si>
  <si>
    <t>SACOS</t>
  </si>
  <si>
    <t>TOLDILLOS</t>
  </si>
  <si>
    <t>TOALLAS</t>
  </si>
  <si>
    <t>CHOCOLATERA</t>
  </si>
  <si>
    <r>
      <t xml:space="preserve">AFECTADAS VIAS VILLAVICENCIO MONFORTH, ALTO DE SOBRETANA - EL CALVARIO, SOBRETANA - CORREGIMIENTO MONTYERREDONDO, ALTO EL CRISTO - QUETAME, </t>
    </r>
    <r>
      <rPr>
        <b/>
        <sz val="9"/>
        <rFont val="Arial"/>
        <family val="2"/>
      </rPr>
      <t>SOLICITAN RECURSOS PARA MEJORAMIENTO DE VIAS PASA A EVALUACION DE PROYECTOS.</t>
    </r>
  </si>
  <si>
    <t>MARMATO</t>
  </si>
  <si>
    <t>LA MERCED</t>
  </si>
  <si>
    <t>BARRIO SANTA ISABEL</t>
  </si>
  <si>
    <t>LA VEGA</t>
  </si>
  <si>
    <t>DESBORDAMIENTO RIO SAN JUAN Y QUEBRADAS SANTA CATALINA, MORRI. BARRIOS LAS RIVERAS, EL CENTRO, SOLGALOPE,  Y VEREDA SANTA CATALINA, MACONDO, BRASIL, EL CAÑO, PARCELAS MORROA Y MORRI. REPORTE DEL CREPAD.</t>
  </si>
  <si>
    <t>BARANOA</t>
  </si>
  <si>
    <t xml:space="preserve">REPORTE DE LA DEFENSA CIVIL. </t>
  </si>
  <si>
    <t>DESBORDAMIENTO RIO META, VEREDAS GUAFILLA, NUEVA REFORMA, CARACARO, PALMITA, LA MACARIGUA, SALADILLO, ESMERALDA, PUNTO LINDO, TAPAOJO, MACUBANA, MATA RATON.</t>
  </si>
  <si>
    <t>VIA GIRARDOT - NARIÑO, Y DESBORDAMIENTO QUEBRADA SAN JOSE</t>
  </si>
  <si>
    <t>34446
36755</t>
  </si>
  <si>
    <t>ALTOS DEL ROSARIO</t>
  </si>
  <si>
    <t>DESBORDAMIENTO RIO MAGDALENA. CORREGIMIENTOS DE LA PACHA, SAN ISIDRO, ALTOS DEL ROSARIO, EL RUBIO, SAN MARTIN, EL DIAMANTE, EL CARMEN, SAN JORGE,VENECIA, SANTA LUCIA, CARDALES, PUERTO ROSARIO, VEREDAS EL CAIMAN Y EL MIMBRE.</t>
  </si>
  <si>
    <t>DESBORDAMIENTO RIO CAUCA. CORREGIMIENTOS DE LA RAYA, LA ENCARAMADA, LAS PLAYITAS, LA LOMA, CAIMITAL, EL CATORCE, EL SINAI, LA RIQUEZA, VIDA TRANQUILA, PUENTANA, MEXICO, GALINDO Y PENCHE. REPORTE DEL CREPAD. PENDIENTE AFECTACION.</t>
  </si>
  <si>
    <t>RIOVIEJO</t>
  </si>
  <si>
    <t>ZONA URBANA CORREGIMIENTOS GUACAMAYO, EL SUDAN TIQUISIO NUEVO, PUERTO COA. REPORTE DE LA DEFENSA CIVIL.</t>
  </si>
  <si>
    <t xml:space="preserve">DESBORAMIENTO RIO MAGDALENA. VEREDAS PUERTO ROJO, CALAVERA, PRIMERO DE MAYO, ISLAS LA BARRIGONA RAYADEROS YERBABUENA Y TRES ESQUINAS. </t>
  </si>
  <si>
    <t>BAGADO</t>
  </si>
  <si>
    <t>SECTOR ALTO ANDAGUEDA</t>
  </si>
  <si>
    <t>PERDIDA DE CULTIVOS Y ESPECIES MENORES</t>
  </si>
  <si>
    <t>TENJO</t>
  </si>
  <si>
    <t>PUERTO RICO</t>
  </si>
  <si>
    <t>ARROYO DON JUAN BARRIOS SIMON BOLIVAR, LA CHINITA, PORFIN, LA LUZ.</t>
  </si>
  <si>
    <t>ARROYO EL SALADO BARRIOS FERROCARRIL Y PORVENIR.</t>
  </si>
  <si>
    <t>BARRIOS FREDONIA, LAS PALMERAS OLAYA, POLICARPA. VILLA ROSITA, SANTA MONICA, EL CAMPESTRE, BELLA VISTA Y VISTA HERMOSA</t>
  </si>
  <si>
    <t>FONSECA</t>
  </si>
  <si>
    <t>SECTORES LLANO ALTO, LA BONITA, BARRIOS SAN ANTONIO, MIRAMAR Y EL TRIUNFO.</t>
  </si>
  <si>
    <t>PLANETA RICA</t>
  </si>
  <si>
    <t>CUATRO LOCALES</t>
  </si>
  <si>
    <t>BARRIO LAS FLORES. REPORTE CLOPAD.</t>
  </si>
  <si>
    <r>
      <t xml:space="preserve">BARRIOS BAHIA HONDA, HEREDIA, GUAQUIRI Y BOMBA. </t>
    </r>
    <r>
      <rPr>
        <b/>
        <sz val="9"/>
        <rFont val="Arial"/>
        <family val="2"/>
      </rPr>
      <t>APOYO DEL FNC PARA ALQUILER DE MAQUINARIA, MANO DE OBRA FORTALECIMIENTO Y ELEVACION DE LOS MUROS DE CONTENCIONEN EL SECTOR ZARAGOCITA Y LA PARTE FRONTAL DEL MUNICIPIO DE PEDRAZA</t>
    </r>
  </si>
  <si>
    <t>DESBORDAMIENTO RIO PESCADOR Y FUERTES LLUVIAS. CORREGIMIENTOS SAN ISIDRO, CERRO AZUL, LA PRIMAVERA, LA AGUADA, SAN JOSE, EL PUERTO, BRISAS DEL PAMPLONITA, LA TULIA, PLAZA VIEJA, LA SOLEDAD, LA HERRADURA, SAN FERNANDO, GUARE. REPORTE DEL CREPAD. FUERTES LLUVIAS. SECTORES EL PAVERO, BETUN, NARANAJL, EL MESTIZO, EL SALADO REPORTE DEL CREPAD.</t>
  </si>
  <si>
    <t>ANSERMANUEVO</t>
  </si>
  <si>
    <t>DESBORDAMIENTO RIO GUADALAJARA, BARRIOS EL CARMELO Y VEREDAS LA GAMARRA, LA MAGDALENA, SECTOR DE PUENTE NEGRO. REPORTE DEL CREPAD. DESBORDAMIENTO RIO BUGALAGRANDE SECTOR MESTIZAL. REPORTE DEL CREPAD. PENDIENTE INFORMACION</t>
  </si>
  <si>
    <t>DESBORDAMIENTO QUEBRADA SAN ROQUE. CORREGIMIENTO DE SONSON. REPORTE DEL CREPAD. DESBORDAMIENTO QUEBRADA GUACARI. CORREGIMIENTO SONSO, GUABAS, LA MAGDALENA Y CANANGUA. , REPORTE DEL CREPAD.</t>
  </si>
  <si>
    <t>ALCALA</t>
  </si>
  <si>
    <t>21052
23563
24557</t>
  </si>
  <si>
    <t>270
24557</t>
  </si>
  <si>
    <t>ADQUISICION DE MATERIALES PARA ALOJAMIENTO TEMPORAL. 3000 TEJAS DE ZINC, 200 CAJAS PUNTILLA PARA ZINC, 200 CAJAS PUN TILLA DE 4", 200 CAJAS PUNTILLA DE 3", 400 PUNTILLAS DE 2 1/2", 1500 METROS DE PLASTICO NEGRO, 500 LISTON DE MADERA DE 4X4X3 METROS, 500 LISTON DE MADERA DE 2X4X3, 500 TABLAS DE MADERA DE 1X2X3.</t>
  </si>
  <si>
    <t>306
307
22705
23551
44244</t>
  </si>
  <si>
    <r>
      <t xml:space="preserve">DESBORDAMIENTO DEL RIO SAN JORGE  AFECTANDO  A LA POBLACIÓN  QUE HABITAN EN LA ZONA RIBEREÑA  TALES COMO EN LOS CORREGIMIENTO DE PUERTO CÓRDOBA , LA VEREDA MANZANARES, VEREDA LOS ZAMBOS, VEREDA GÉNOVA, VEREDA SANTA CLARA. PARA UN TOTAL DE 284 FAMILIAS AFECTADAS.. </t>
    </r>
    <r>
      <rPr>
        <b/>
        <sz val="9"/>
        <rFont val="Arial"/>
        <family val="2"/>
      </rPr>
      <t>APOYO DEL FNC MEDIANTE GIRO DIRECTO AL CLOPAD PARA LOS TRABAJOS DE REFORZAMIENTODEL DIQUE EN LA VEREDA GENOVA.</t>
    </r>
  </si>
  <si>
    <t>EL TARRA</t>
  </si>
  <si>
    <t>AVALANCHA RIO TARRA. ZOONA RURAL. REPORTE DEL CREPAD.</t>
  </si>
  <si>
    <t>TIBANA</t>
  </si>
  <si>
    <t>BARRIO LAS BRISAS. REPORTE DEL CREPAD.</t>
  </si>
  <si>
    <t>BARRIOS ALTICO, TORRECITAS, EL JARDIN. REPORTE DEL CREPAD.</t>
  </si>
  <si>
    <t>BARRIO LA PAZ, LOCALIDAD DE SANTA FE. REPROTE DE LA DEFENSA CIVIL.</t>
  </si>
  <si>
    <t>AVALANCHA RIO CATATUM,BO, CORREGIMEINTO SAN PABLO. SECTOR PUENTE ROJO. REPORTE DEL CREPAD.</t>
  </si>
  <si>
    <t>500 CABEZAS DE GANADO ARRASTRADAS.</t>
  </si>
  <si>
    <t>AGUADAS</t>
  </si>
  <si>
    <t>VEREDA LA LETICIA REPORTE DE SOCORRO NACIONAL.</t>
  </si>
  <si>
    <t>BARRIO SAN BLAS. REPORTE DE SOCORRO NACIONAL.</t>
  </si>
  <si>
    <t>SECTOR AGUALINDA. REPROTE DEL CREPAD.</t>
  </si>
  <si>
    <t>BARRIO CEILAN. REPORTE DEL CREPAD.</t>
  </si>
  <si>
    <t>UBATE</t>
  </si>
  <si>
    <t>VEREDA SUGA SETOR CHIRCALES REPORTE DEL CREPAD</t>
  </si>
  <si>
    <t>QUEBRADA LA CARBONERA. BARRIOS MIRADOR, RINCON SANTO, LAS VEREDAS EL PALMAR Y ZAPATA. REPORTE DEL CREPAD.</t>
  </si>
  <si>
    <t>AFECTADA VIA SUBA COTA POR DESBORDAMIENTO RIO BOGOTA. SECTORES PUEBLO VIEJO, PARCELAS, ROZO, SIBERIA, VUELTA GRANDE, CETIME, LA MOYA Y EL ABRA.  REPORTE DE LA DEFENSA CIVIL.</t>
  </si>
  <si>
    <t>SECTOR URBANO, SECTOR RURAL.. VEREDA TIBROTE. REPORTE DEL CREPAD.</t>
  </si>
  <si>
    <t>FOSCA</t>
  </si>
  <si>
    <t>VEREDA POTRERITOS Y QUINCHITA. REPORTE DEL CREPAD. VIAS FOSCA - POTRERITOS  Y FOSCA - QUINCHIA.</t>
  </si>
  <si>
    <t>GUALMATAN</t>
  </si>
  <si>
    <t>SECTOR COFRADIA O OBISPO. REPORTE DEL CREPAD.</t>
  </si>
  <si>
    <t>LEIVA</t>
  </si>
  <si>
    <t>CORREGIMIENTO EL TABLON, EL PALMAR, EL CAMPANARIO, LAS CAÑADAS, LA ESPERANZA. REPORTE DEL CREPAD.</t>
  </si>
  <si>
    <t>270
274
25048</t>
  </si>
  <si>
    <t>270
277
278
21712
24935
24935
24938</t>
  </si>
  <si>
    <t>270
271
40169
24652</t>
  </si>
  <si>
    <t>266
270
271
24652</t>
  </si>
  <si>
    <r>
      <t>APOYO PARA LOS MUNICIPIOS DE TUNJA, DUITAMA, SOGAMOSO, NOBSA, FIRAVITOBA, PAIPA, TUTA, TOCA, TIBASOSA, OTANCHE, SAN PABLO DE BORBUR.</t>
    </r>
    <r>
      <rPr>
        <b/>
        <sz val="9"/>
        <rFont val="Arial"/>
        <family val="2"/>
      </rPr>
      <t xml:space="preserve"> APOYO DEL FNC MEDIANTE GIRO DIRECTO AL CREPAD PARA ADQUISICION DE COMBUSTIBLE PARA LA MAQUINARIA UTILIZADA EN LAS ZONAS DE EMERGENCIA EN LOS MUNICIPIOS DE TASCO, TOPAGA, SOCHA, EL ESPINO GUICAN, BOAVITA, LA UVITA, SAN MATEO, MARIPI, OTANCHE.</t>
    </r>
  </si>
  <si>
    <t>20842
23554
23795</t>
  </si>
  <si>
    <t>35570
21328
23554
23795</t>
  </si>
  <si>
    <t>266
269
270
23554
23795</t>
  </si>
  <si>
    <t>SECTOR ARENILLO, DESBORDAMIENTO RIO BOLO, REPROTE DEL CREPAD.</t>
  </si>
  <si>
    <t>EL DOVIO</t>
  </si>
  <si>
    <t>VEREDA CALLE LARGA, REPORTE DEL CREPAD.</t>
  </si>
  <si>
    <t>DESBORDAMIENTO RIO CEIBA QUE AFECTO EL ACUEDUCTO Y DESLIZAMIENTO EN EL BARRIO SAN ANTONIO.  REPORTE DEL CLOPAD.</t>
  </si>
  <si>
    <t>TARQUI</t>
  </si>
  <si>
    <t>DESBORDAMIENTO RIO CAUCA. BARRIOS, NUEVO AMANECER, Y DECEPAZ. REPORTE DE LA DEFENSA CIVIL.</t>
  </si>
  <si>
    <t>VEREDA EL ZANCUDO. CORREGIMIENTO ALTO ESPAÑOL. FINCA COCOLO. REPORTE DEL CREPAD.</t>
  </si>
  <si>
    <t>CAQUEZA</t>
  </si>
  <si>
    <t xml:space="preserve">REPROTE DEL CREPAD. VEREDAS GIRON DE BLANCO, GIRON DE MOYAS, PARAMO. </t>
  </si>
  <si>
    <t>UNE</t>
  </si>
  <si>
    <t>PERIMETRO URBANO Y VEREDAS SAN LUIS, TIMACITA, Y MATEGA. REPORTE DEL CREPAD AFECTADO PUENTE PEATONAL RIO CARAZA.</t>
  </si>
  <si>
    <t>SOPO</t>
  </si>
  <si>
    <t>VEREDAS CENTRO ALTO, SECTOR LAS MERCEDES. REPORTE DEL CREPAD.</t>
  </si>
  <si>
    <t>DESBORDAMIENTO QUEBRADA LA CHACUA. BARRIOS PABLO NERUDA, GARCIA, REPORTE DEL CREPAD.</t>
  </si>
  <si>
    <t>DESBORDMAIENTO RIO BOGOTA. SECTORES PORVENIR 1 Y 2 PLANADAS, VEREDA SAN FRANCISCO, SANTA ISABEL Y SAN JOSE. REPORTE DEL CREPAD.</t>
  </si>
  <si>
    <t>SAN ANTONIO DEL TEQUENDAMA</t>
  </si>
  <si>
    <t>VEREDAS ZARAGOZA, EL PALMAR, LA MARIA, Y CHICAQUE. REPORTE DEL CREPAD.</t>
  </si>
  <si>
    <t>VEREDAS LA FLORIDA, LA VEGA, PANECILLO, LA LAGUNA, CORREGIMINTO MADRIGAL. REPORTE DEL CREPAD. VIA NACIONAL - POLICARPA. CORREIMIENTO EL REMOLINO, VIA DEPARTAMENTAL POLICARPA - EL EGIDO, MADRIGAL, Y POLICARPA - BRAVO, LA CUHCILLA - NACEDEROS, VIAS TERCIARIAS, ALTAMIRA - EL ROSAL, ALTAMIRA EL PEDREGAL,. POLICARPA - RESTREPO. RESTRPO NACEDROS, MADRIGAL - SANTA CRUZ, SANTA CRUZ- SANTA ROSA., EL EGIDO - ALGODONES, REMOLINIOS - SANCHEZ, RIO SAN PABLO - BALBANERA, BALBANERA - BELLA ESPERANZA, RIO SAN PABLO - EL CAIRO, LA DORADA LA CUCHILLA, EL FILI - SANTA LUCIA, EL FILO - VILLA MORENO, AFECTADOS CUATRO ACUEDUCTOS. REPORTE DEL CREPAD.</t>
  </si>
  <si>
    <t>ARBOLEDA</t>
  </si>
  <si>
    <t>REPORTE DEL CREPAD. AFECTACIONE N VIAS ROSA - FLORIDA Y PUENTE EL TAUSO.</t>
  </si>
  <si>
    <t>VIAS ANCUYA - CONSACA, ANCUYA - SANDONA, ANCUYA - GUAYTARILLA, ANCUYA - LINARES, ANCUYA - LOMA, ANCUYA - ARADA, MACASCRUZ - ANCUYA, ANCUYA . LA ARADA, BARRIOS SAN FRANCISCO, BOCANEGRA Y SANTA ROSA. Afectados centros educativos el limonar y el collal y afectado acueducto.REPORTE DEL CREPAD.</t>
  </si>
  <si>
    <t>TANGUA</t>
  </si>
  <si>
    <t>REPORTE DEL CREPAD. VIA PASTO - IPIALES KM 51.</t>
  </si>
  <si>
    <t>SAMANIEGO</t>
  </si>
  <si>
    <t>VEREDAS ALTO Y BAJO CANADA, EL LIMON, NARANJAL, PICHUELO, CHUGLUNDY, LA CAPILLA, LA LAGUNA, PIEDRABLANCA, EL SALADO, PUERCHAG, LA MESA, MOTILON, VISTAHERMOSA, GUADUAL, CARTAGENA, BARRIOS LOS ANGELES, LA AVENIDA, SILOE, SCHUMACHER, REPORTE DEL CREPAD.. AFECTADAS VIAS A LOS MUNICIPIOS DE LA LLANADA, Y LINARES Y VEREDAS LA CAPILLA, MONTEBLANCO, CHUGULDE, SAN ANTONIO, PIEDRABALNCA, LA ESMERALDA, ALCTO CARTAGENA, EL DECIO, LA PLANADA, VEREDA EL SESENTA.</t>
  </si>
  <si>
    <t>SECTORES EL PALMAR, OSPINA, BARRIO CARAGENA. REPORTE DEL CREPAD.</t>
  </si>
  <si>
    <t>CULTIVOS DE CAÑA PLATANO CAFÉ Y CACAO.</t>
  </si>
  <si>
    <t>FUERTES LLUVIAS SECTORES BOCA DE CANAL, GUABILLARES, SAN JOSE DE LA TRUBIA, ORITAL, VUELTA LARGA, PUERTO BAJITO, LA SOLEDAD. NARANJAL. REPROTE DEL CREPAD.</t>
  </si>
  <si>
    <t>PERDIDA DE CULTIVOS ÁLTANO YUCA, CACAO, MAIZ, ARROZ, CAÑA, PAPA CHINA, PALMA DE COCO,  AVES DE CORRAL  CERDOS.</t>
  </si>
  <si>
    <t>23167
23783
23922
25070</t>
  </si>
  <si>
    <t>233
232
257
23563
24952</t>
  </si>
  <si>
    <t>270
271
24950</t>
  </si>
  <si>
    <t>DESBORDAMIENTO RIO CAUCA. CORREGIMIENTO SAN PEDRO, BARRIOS OCCIDENTAL Y SAN PEDRO, CORREGIMIENTOS LA CRUZ, SAN PEDRO Y SANTA TERESA.. REPROTE DE LA DEFENSA CIVIL.</t>
  </si>
  <si>
    <t xml:space="preserve">ROMPIMIENTO DEL DIQUE, CORREGIMIENTO BARRO BLANCO. REPROTE DEL CREPAD. </t>
  </si>
  <si>
    <r>
      <t>DESBORDAMIENTO RIO CUCUTILLA POR FUERTES LLUVIAS EN EL SECTOR SAN ISIDRO , CONFINES Y EL MOLINO, REPORTE DEL CREPAD.</t>
    </r>
    <r>
      <rPr>
        <b/>
        <sz val="9"/>
        <rFont val="Arial"/>
        <family val="2"/>
      </rPr>
      <t xml:space="preserve"> El VALOR DE OTROS CORRESPONDE A 600 TEJAS DE ZINC, 10000 BLOQUE, 600 BULTOS DE CEMENTO Y 140 ROLLOS DE MANGUERA DE 1/2 "</t>
    </r>
  </si>
  <si>
    <t>DESBORDAMIENTO RIO MANZANARES QUEBRADA LA LATA RIO GUACHARACA Y QUEBRADA LA LINEA REPORTE DE DEFENSA CIVIL BARRIO LA ESMERALDA BULEVAR DEL RIO TAYRONA ALTO Y BAJO VILLA DEL RIO 1 2Y 3 PAMPLONITA 8 DE FEBRERO, SANTA ANA, VILLA  MALVINAS, SIMON BOLIVAR, SALAMANCA, VILLA DEL CARMEN, FUNDADORES, ONDAS DEL CARIBE, CHIMILA, GALAN, PANTANO, OASIS, MARIA CECILIA, PESCADITO, MARIA EUGENIA Y CORREGIMIENTOS EL CHORRO, GUACHARACA, PUERTO NUEVO.</t>
  </si>
  <si>
    <t>REPORTE DEL CLOPAD CORREGIMIENTOS CERRITO, VEREDA ESTACION VILLEGAS.</t>
  </si>
  <si>
    <t>REPORTE DEL CREPAD CORREGIMIENTOS SAN RAFAEL Y ZONA RURAL.</t>
  </si>
  <si>
    <t>CRECIENTE SUBITA RIO GASAUNTA. VEREDA ZARZAL. REPORTE DE LA DEFENSA CIVIL.</t>
  </si>
  <si>
    <t>ARANZAZU</t>
  </si>
  <si>
    <t>QUEBRADA EL BRILLANTE.  DAÑOS EN EL ACUEDUCTO DEL MUNICIPIO, CERCA DE 12000 PERSONAS SE ENCUENTRAN SIN AGUA. REPORTE DEL CREPAD.</t>
  </si>
  <si>
    <t>GUACARI</t>
  </si>
  <si>
    <t>DAGUA</t>
  </si>
  <si>
    <t xml:space="preserve">SECTOR LA GUINEA. REPORTE DEL CREPAD. </t>
  </si>
  <si>
    <t>SANDONA</t>
  </si>
  <si>
    <t>REPORTE DEL CREPAD. VIAS PUENTE TABLA - MICHUACA, EL COCUYO - PIJAO</t>
  </si>
  <si>
    <t>CRECIENTE RIO INGENIO, SE AFECTO EL ACUEDUCTO DEL MUNICIPIO. HAY 10.500 PERSONAS SIN SERVICIO DE AGUA REPORTE DEL CREPAD.</t>
  </si>
  <si>
    <t>DESBORDAMIENTO ARROYO POLON. REPORTE DEL CREPAD.</t>
  </si>
  <si>
    <t>CAJIBIO</t>
  </si>
  <si>
    <t>CORREGIMIETNOS EL ROSARIO, EL RECUERDO, LA CAPILLA, CAMPO ALEGRE, TROPICAL TUMACO, BALASTRERA, BETANIA. AFECTADAS VIAS EL RECUERDO, EL ROSARIO, PALACE, LA LAGUNA, ORTEGA, LA CAPILLA, NUEVO HORIZONTE, BUENAVISTA Y SAN ANTONIO. REPORTE DEL CREPAD.</t>
  </si>
  <si>
    <t xml:space="preserve">CORREGIMEINTO GABRIEL LOPEZ. AFECTACION EN LA IGLESIA Y EL PUESTO DE SALUD. REPORTE DEL CREPAD. </t>
  </si>
  <si>
    <t>MUTATA</t>
  </si>
  <si>
    <t>DESBORDAMIENTO RIO CAUCA. VEREDAS LAS FLORES, CORREGIMIENTO DE BOLOMBOLO. REPORTE DEL CREPAD.</t>
  </si>
  <si>
    <t>DESBORDAMIENTO RIO CAUCA. SECTORES SAN JORGE, LA PLAYA, COLOMBIA Y EL TABLAZO. REPORTE DEL CREPAD.</t>
  </si>
  <si>
    <t>BARRIOS CUCHILLA DE VILLATE, EL BOSQUE, CARRIZAL, SIETE DE ABRIL, NUEVA COLOMBIA, LA CANGREJERA,  Y VILLA EL ROSARIO. REPORTWE DEL CREPAD</t>
  </si>
  <si>
    <t>CORREGIMIENTO SAN CRISTOBAL. REPORTE DE LA DEFENSA CIVIL.</t>
  </si>
  <si>
    <t>CORREGIMIENTOS PALMITAS, LA ESPERANZA, PAJARITO Y LA BALSA. REPORTE DEL CREPAD.</t>
  </si>
  <si>
    <r>
      <t>DESBORDAMIETNO RIO SUCIO, VEREDA PAVARANDOCITO, PAJIRA, BAJO BARANDO, LA SECRETA, LAS MALVINAS.. REPORTE DE LA DEFENSA CIVIL.</t>
    </r>
    <r>
      <rPr>
        <b/>
        <sz val="9"/>
        <rFont val="Arial"/>
        <family val="2"/>
      </rPr>
      <t xml:space="preserve"> SOLICITAN VISITA TECNICA PARA A COORD. REGIONAL.</t>
    </r>
  </si>
  <si>
    <t>DESBORDAMIENTO RIO LA CRUZ SECTOR LA PLANTA. REPROT DEL CREPAD.</t>
  </si>
  <si>
    <t>TITIRIBI</t>
  </si>
  <si>
    <t>CRECIENTE DE CAÑO SECTOR VIEJOBARRIO MANIZALES. REPORTE DEL CREPAD</t>
  </si>
  <si>
    <t>SECTOR EL TIGRE REPORTE DEL CREPA</t>
  </si>
  <si>
    <t>VIGIA DEL FUERTE</t>
  </si>
  <si>
    <t>DESBORDAMIENTO RIO ATRATO. REPORTE DEL CREPAD.</t>
  </si>
  <si>
    <t>BOJAYA</t>
  </si>
  <si>
    <t>DESBORDAMIENTO RIO ATRATO REPORTE DE LA CRUZ ROJA</t>
  </si>
  <si>
    <t>DESBORDAMIENTO RIO BAUDO. REPORTE DE LA CRUZ ROJA. CORREGIMIENTO QUERA.</t>
  </si>
  <si>
    <t>DESBORDAMINETO RIO BAUDO. REPORTE DE LA CRUZ ROJA</t>
  </si>
  <si>
    <t>VEREDAS CANOAN, CHAGUALA, PALO GRANDE. REPROTE DEL CREPAD.</t>
  </si>
  <si>
    <t>DESBORDAMIENTO RIO DAGUA. CORREGIMIENTO CISNEROS, VEREDA LA GUINEA. REPORTE DE LA DEFENSA CIVIL</t>
  </si>
  <si>
    <t xml:space="preserve">SECTOR SABINAS. VIA MANIZALES - BOGOTA. REPORTE DE SOCORRO NACIONAL </t>
  </si>
  <si>
    <t>AFECTACION EN UN VEHICULO</t>
  </si>
  <si>
    <t>REPRESAMIENTO QUEBRADA ZATE. ZONA URBANA BARRIO LA SOMBRILLA Y VEREDA LOS CERRILLOS. REPORTE DEL CLOPAD Y CREPAD.</t>
  </si>
  <si>
    <t>SASAIMA</t>
  </si>
  <si>
    <t>VEREDA GUAYACUNDO. REPROTE DEL CREPAD.</t>
  </si>
  <si>
    <t>CRECIENTE QUEBRADA REYES. VEREDA SAN JUAN. FINCA ALISIOS. REPORTE DEL CREPAD.</t>
  </si>
  <si>
    <t>FUERTES LLUVIAS SECTOR URBANO BARRIO SAN FERNANDO. REPORTE DEL CREPAD.</t>
  </si>
  <si>
    <r>
      <t>SECTOR PARATEBIEN. PENDIENTE AFECTACION, REPORTE DEL CREPAD.</t>
    </r>
    <r>
      <rPr>
        <b/>
        <sz val="9"/>
        <rFont val="Arial"/>
        <family val="2"/>
      </rPr>
      <t>APOYO DEL FNC MEDIANTE GIRO DIRECTO AL CLOPAD PARA APOYAR LA ADQUISICION DE OMBUSTIBLE PARA EL FUNCIONAMIENTO DE LAS MOTOBOMBAS PARA EVACUACION DE AGUAS.</t>
    </r>
  </si>
  <si>
    <t>35521
23530</t>
  </si>
  <si>
    <r>
      <t xml:space="preserve">VIA MEDELLIN - GIRALDO DESLIZAMIENTO </t>
    </r>
    <r>
      <rPr>
        <b/>
        <sz val="9"/>
        <rFont val="Arial"/>
        <family val="2"/>
      </rPr>
      <t>APOYO DEL FNC MEDIANTE GIRO DIRECTO AL CLOPAD PARA ADQUISICION DE COMBUSTIBLE, ALIMENTACION, INSUMOS MEDICOS Y HERRAMIENTAS MANUALES. EL VALOR DE OTROS CORRESPONDE A 200 RACIONES DE CAMPAÑA PARA LA DEFENSA CIVL ENTIDAD QUE APOYO EL EVENTO.</t>
    </r>
  </si>
  <si>
    <t>306
307
23551</t>
  </si>
  <si>
    <t>295
306
207
22208
22705
23551</t>
  </si>
  <si>
    <t>306
307
22208
22705
23551</t>
  </si>
  <si>
    <t>307
20213
23551</t>
  </si>
  <si>
    <t>19887
20213
23551</t>
  </si>
  <si>
    <t>20213
23551</t>
  </si>
  <si>
    <t>35170
46609</t>
  </si>
  <si>
    <t>SECTORES RESGUARDO DE HONDURAS, CHIMBORAZO, AGUA NEGRA, ALTAMIRA Y EL SOCORRO. REPORTE DEL CREPAD.</t>
  </si>
  <si>
    <t>ROSAS</t>
  </si>
  <si>
    <t>CASCO URBANO BARRIOS LA PLAYA, EL MIRADOR, LA ESMERALDA, GUSTAVO MEJIA, PEDRO LEON RODRÍGUEZ, VILLA DEL ROSARIO, 20 DE AGOSTO Y EL FRIJOL.  REPORTE DEL CREPAD.</t>
  </si>
  <si>
    <t>DESBORDAMIENTO RIO JEREZ, CORREGIMIENTO LAS FLORES,  REPORTE DEL CREPAD</t>
  </si>
  <si>
    <t>FUERTES LLUIVIAS. BARRIOS FREDONIA, POZON, SARABANDA, SAN JOSE DE LOS CAMPANOS, POLICARPA, TRES DE JULIO, ARROZ BARATO. SE PRESENTO UNA VICTIMA EN LA CIENAGA MATUTE. REPORTE DEL CLOPAD.</t>
  </si>
  <si>
    <t>PERDIDA DE CULTIVOS</t>
  </si>
  <si>
    <t>SE APOYA DE MANERA COMPLEMENTARIA A LOS ESFUERZOS LOCALES Y REGIONALES</t>
  </si>
  <si>
    <t>BELEN DE UMBRIA</t>
  </si>
  <si>
    <t>PERDIDA DE CULTIVOS Y ANIMALES</t>
  </si>
  <si>
    <t>SAN MARTIN</t>
  </si>
  <si>
    <t>BARRIOS LOS ANDES, ALGARROBO Y 11 DE NOVIEMBRE. DESBORDAMIENTO CAÑO CAMOA PENDIENTE INFORMACION</t>
  </si>
  <si>
    <t>QUIPILE</t>
  </si>
  <si>
    <t>OCAMONTE</t>
  </si>
  <si>
    <t>VEREDA PUERTO SERVIEZ. REPORTE DEL CLOPAD MEDIANTE ACTADEL 26 DE ABRIL. NO HAY SOLICITUD DE APOYO AL NIVEL NACIONAL.</t>
  </si>
  <si>
    <t>MORELIA</t>
  </si>
  <si>
    <t>VEREDA CAÑAVERAL Y CERRITOS. REPORTE DEL CREPAD.</t>
  </si>
  <si>
    <t>LA CELIA</t>
  </si>
  <si>
    <t>DESBORDAMIENTO RIO CAÑAVERAL AFECTADA VIA DE LA VEREDA CHORRITO REPORTE DEL CREPAD.</t>
  </si>
  <si>
    <t>GUARNE</t>
  </si>
  <si>
    <t>DESBORDAMEINTO QUEBRADA LA PALMARA BARRIO LA PALMARA.</t>
  </si>
  <si>
    <t>SECTOR VIA ICONONZO AFECTADA VIVIENDA POR CAIDA DE ARBOL</t>
  </si>
  <si>
    <t>CAIDA DE ARBOL POR TORMENTA ELECTRICA SECTOR MUSEO DE LOS NIÑOS.</t>
  </si>
  <si>
    <t>DESBORDAMIENTO QUEBRADA LA ESMERALDA Y EL RIO NEMAL DIEZ VEREDAS AFECTADAS. DESTRUIDO PUENTE EN LA INSPECCION MONTE CRISTO.</t>
  </si>
  <si>
    <r>
      <t xml:space="preserve">APOYO PARA EL DEPARTAMENTO EN SACOS Y AMARRES PARA CUBIERTA. </t>
    </r>
    <r>
      <rPr>
        <b/>
        <sz val="9"/>
        <rFont val="Arial"/>
        <family val="2"/>
      </rPr>
      <t>EL VALOR DE OTROS CORRESPONDE A 200.000 GANCHOS PARA TEJA DE FIBROCEMENTO Y 20.000 AMARRES PARA ZINC</t>
    </r>
  </si>
  <si>
    <t>PLASTICO NEGRO</t>
  </si>
  <si>
    <t>JUEGO CUBIERTOS</t>
  </si>
  <si>
    <t>VENDAVAL</t>
  </si>
  <si>
    <t>CHIGORODO</t>
  </si>
  <si>
    <t>REPORTE DE LA DEFENSA CIVIL.</t>
  </si>
  <si>
    <t xml:space="preserve">DESBORDAMIENTO QUEBRADA CARBONERA. </t>
  </si>
  <si>
    <t>LIBANO</t>
  </si>
  <si>
    <t>NIMAIMA</t>
  </si>
  <si>
    <r>
      <t xml:space="preserve">VEREDA CAMPAMENTO, SECTOR PAGIMBIO . REPORTE DEL CREPAD. </t>
    </r>
    <r>
      <rPr>
        <b/>
        <sz val="9"/>
        <rFont val="Arial"/>
        <family val="2"/>
      </rPr>
      <t>APOYO DEL FONDO NACIONAL DE CALAMIDADES CON EL PROPOSITO DE ADQUIRIR 400 TEJAS DE ETERNIT NO. 6, 100 TANQUES DE AGUA DE 500 LITROSA Y 84 TANQUES DE 1000 LITROS.</t>
    </r>
  </si>
  <si>
    <t>41553
41524</t>
  </si>
  <si>
    <t>298
299</t>
  </si>
  <si>
    <t>SUCRE/MAJAGUAL</t>
  </si>
  <si>
    <t>SANTA ROSA DE OSOS</t>
  </si>
  <si>
    <t>AFECTACION DE CULTIVOS DE PAPA Y TOMATE DE ARBOL</t>
  </si>
  <si>
    <t>BARRIOS EL PORVENIR POLPULAR SIETE DE AGOSTO, LA RELIQUIA, SAN MARCOS Y EL CENTRO. REPORTE EL CLOPAD.</t>
  </si>
  <si>
    <t>DESBORDAMIENTO RIO FRIO. CASERIO CARITAL. REPORTE DEL CREPAD.</t>
  </si>
  <si>
    <t>AFECTACION EN CULTIVOS DE BANANO Y PALMA AFRICANA</t>
  </si>
  <si>
    <t>CRECIENTE QUEBRADA VILLA NUEVA REPORTE DEL CREPAD.</t>
  </si>
  <si>
    <t>CORREGIMIENTO SAN PEDRO DE LA SIERRA, VEREDA EL BOSQUE. REPORTE DEL CREPAD.</t>
  </si>
  <si>
    <t>INUNDACION POR FUERTES LLUVIAS. BARRIOS FUNDADORES, SIMON BOLIVAR, GALAN Y BASTIDAS, REPORTE DEL CLOPAD.</t>
  </si>
  <si>
    <t>DESLIZAMIENTO EN LA MINA DE ORO EL BASURERO, REPORTE DE LA CRUZ ROJA.</t>
  </si>
  <si>
    <t>DESBORDAMIENTO ARROPYO HONDO VEREDA LA PAZ. REPORTE DEL CREPAD. EN AVALUAVION.</t>
  </si>
  <si>
    <t>VEREDA LLANO GRANDE. REPORTE DEL CREPAD.</t>
  </si>
  <si>
    <t>DESCARGA ELECTRICA BARRIO SANTA ANA REPORTE DE CRUZ ROJA.</t>
  </si>
  <si>
    <t>HOBO</t>
  </si>
  <si>
    <t>VEREDA ESPORACAL. REPORTE DEL CREPAD</t>
  </si>
  <si>
    <t>BARRIO QUINTA EPTAPA. REPORTE DE LA DEFENSA CIVIL</t>
  </si>
  <si>
    <t>DABEIBA</t>
  </si>
  <si>
    <t>DESBORDAMIENTO QUEBRADA LA DESMONTADORA. AFECTANDO BARRIOS LA PLAYITA, MADRID Y CENTRO, REPORTE DEL CREPAD.</t>
  </si>
  <si>
    <t>BARRIO BUENAVISTA. VIA MARIQUITA FRESNO. REPORTE DEL CREPAD TOLIMA</t>
  </si>
  <si>
    <t>DESBORDAMIENTO CAÑO LAS MINAS CORREGIMIENTO LAS MINAS Y VEREDA TOCORAMA. REPORTE DEL CREPAD.</t>
  </si>
  <si>
    <t>PATIA</t>
  </si>
  <si>
    <t xml:space="preserve">DESBORDAMIENTO RIO PATIA. REPORTE DEL CREPAD. </t>
  </si>
  <si>
    <t>DESBORDAMEITNO QUEBRADA NATURCO. BARRIO LAS BRISAS. REPORTE DEL CREPAD.</t>
  </si>
  <si>
    <t>DEBORDAMIENTO RIO MAGDALENA. VEREDA EL CONCHAL. REPORTE DEL CREPAD</t>
  </si>
  <si>
    <t>DESBORDAMIENTO RIO GUALI, BARRIOS LAS DELICIAS Y LA PEDREGOZA. AFECTADA OFICINA DE TURISMO Y EL ESTADIO Y PARTE DEL HOSPITAL Y LA VIA MEDELLIN - BOGOTA. REPORTE DEL CREPAD.</t>
  </si>
  <si>
    <t>VEREDA MONTBLANC. REPORTE DEL CREPAD AFECTADAS 1092 FAMILIAS  POR DESABASTECIMIENTO DE AGUA.</t>
  </si>
  <si>
    <t>VEREDA AMOLADORA BAJA Y SECTOR PITAL DE COMBIA. REPORTE DEL CREPAD.</t>
  </si>
  <si>
    <t>FUERTES LLUVIAS. REPORTE DEL CREPAD.</t>
  </si>
  <si>
    <t>IQUIRA</t>
  </si>
  <si>
    <t>VEREDA SAN ALFONSO. REPORTE EL CREPAD.</t>
  </si>
  <si>
    <t>DESBORDAMIENTO RIO CHIDLAIMO. VEREDA TUPES, REPORTE DEL CREPAD</t>
  </si>
  <si>
    <t>DESBORDAMIENTO CAÑO ALONSO. REPORTE DEL CREPAD.</t>
  </si>
  <si>
    <t>DESBORDAMIENTO QUEBRADA LAS MERCEDES CORREGIMIENTO DE LAS MERCEDES. REPORTE DEL CREPAD</t>
  </si>
  <si>
    <t>VEREDAS CONDAGUA, TOLDAS, NUEVA ESPERANZA, ALTO AFAN, TEBAIDA, YUNGUILLO, SAN CARLOS Y PLANADAS.</t>
  </si>
  <si>
    <t>DESBORDAMIETNO CIENAGA DEL TOTUMO. REPORTE DEL CREPAD</t>
  </si>
  <si>
    <t>DESBORDAMIENTO RIO LA CAL. SECTOR CAÑO EL BRASIL. REPORTE DE LA DEFENSA CIVIL.</t>
  </si>
  <si>
    <t>DESBORDAMIENTO QUEBRADA LA MALA. CORREGIMIENTO PAJUIL. REPORTE DE CREPAD</t>
  </si>
  <si>
    <t xml:space="preserve">BARRIO VEGAS DE MORRORICO. </t>
  </si>
  <si>
    <t>VEREDA CENTRO DE APURE, SECTOR LA AURORA. REPORTE DEL CREPAD.</t>
  </si>
  <si>
    <t>VIA BOLIVAR - VELEZ REPORTE DEL CREPAD.</t>
  </si>
  <si>
    <t>VELEZ</t>
  </si>
  <si>
    <t>SALIDA DE VELEZ AL SECTOR RURAL. REPORTE DEL CREPAD.</t>
  </si>
  <si>
    <t>VIA BUCARAMANGA - SURATA. REPORTE DEL CREPAD</t>
  </si>
  <si>
    <t xml:space="preserve">LOS PATIOS </t>
  </si>
  <si>
    <t>BARRIOS MIRADORES DE PIZARIAN, REPORTE DEL CREPAD.</t>
  </si>
  <si>
    <t>DURANIA</t>
  </si>
  <si>
    <t>VEREDA BETANIA. VIA BETANIA - PUETO BOYACA.</t>
  </si>
  <si>
    <t>SOATA</t>
  </si>
  <si>
    <t>VIA EL ESPINO - SOATA. SOATA - BOAVITA Y BOAVITA - PANQUEBA. REPORTE DEL CREPAD.</t>
  </si>
  <si>
    <t>BARRIO LA PLAYITA. REPORTE DEL CLOPAD.</t>
  </si>
  <si>
    <t>FACATATIVA</t>
  </si>
  <si>
    <t>DESBORDAMIENTO RIO BOTELLO, RIO NACILLA, VEREDAS SAN RAFAEL, Y BARRIOS VILLA MIRIAM, GIRARDOT, SAN RAFAEL ALTO Y BAJO. REPORTE DEL CREPAD.</t>
  </si>
  <si>
    <t>DIEZ VEHICULOS INUNDADOS</t>
  </si>
  <si>
    <t>APOYO ALIMENTARIO PARA EL DEPARTAMENTO.</t>
  </si>
  <si>
    <t>APOYO AL HOSPITAL DE PLATO A FIN DE REALIZAR BRIGADAS DE SALUD</t>
  </si>
  <si>
    <t>SE APOYA TENIENDO EN CUENTA LA IMPORTANCIA DE LA LABOR DEL HOSPITAL</t>
  </si>
  <si>
    <t>20842
42097</t>
  </si>
  <si>
    <r>
      <t xml:space="preserve">DESBORDAMIENTO MARGEN IZQUIERDA RIO PAUTO. SECTOR EL BANCO, VEREDA SAN ISIDRO, LA MAPORA, EL GARZON, BANCO, EL VERDE, RAMON NONATO Y MATALARGA. EVACUADAS 15 PERSONAS POR VIA AEREA. REPORTE DEL SOCORRO NACIONAL.  </t>
    </r>
    <r>
      <rPr>
        <b/>
        <sz val="9"/>
        <rFont val="Arial"/>
        <family val="2"/>
      </rPr>
      <t>APOYO DEL FNC MEDIANTE GIRO DIRECTO AL CLOPAD PARA LA COMPRA DE COMBUSTIBLES ACEITES Y FILTROS EL EL RIO PAUTO.</t>
    </r>
  </si>
  <si>
    <t>CRECIENTE DE QUEBRADA SECTOR PUERTO FRAZADA. REPORTE DE SOCORRO NACIONAL</t>
  </si>
  <si>
    <t>EL COPEY</t>
  </si>
  <si>
    <t>REPORTE PRELIMINAR DEL CREPAD, ESTA REALIZANDO EDAN.</t>
  </si>
  <si>
    <t>BARRIO NUEVE DE OCTUBRE. REPORTE DEL CREPAD.</t>
  </si>
  <si>
    <t>CRECIENTE DEL RIO SAN JUAN SECTOR ESTRELLA PANGALA.</t>
  </si>
  <si>
    <t>CARMEN DEL DARIEN</t>
  </si>
  <si>
    <t>DESBORDAMIENTO RIO IRO REPORTE DEL CREPAD.</t>
  </si>
  <si>
    <t>SIPI</t>
  </si>
  <si>
    <t>DESBORDAMIENTO RIO SIPI. REPROTE DEL CREPAD.</t>
  </si>
  <si>
    <t>AFECTADA LA ESCUELA NORMAL SUPERIOR. REPORTE DEL CREPAD.</t>
  </si>
  <si>
    <t>VEREDA EL POZO SECTOR EL ALJIBE. AFECTADA VIA SOCHA PAZ DE RIO. REPORTE EL CREPAD.</t>
  </si>
  <si>
    <t>GAMEZA</t>
  </si>
  <si>
    <t>SE PRESENTO CAIDA DE ARBOL SOBRE EL COLEGIO SAGRADOS CORAZONES, UBICADO EN EL BARRIO CENTRO CON CINCO NIÑOS HERIDOS. REPORTE DEL CLOPAD.</t>
  </si>
  <si>
    <t>SANTA MARIA</t>
  </si>
  <si>
    <t>AFECTADA VIA SANTA MARIA - JERUSALEM. REPORTE DEL CREPAD.</t>
  </si>
  <si>
    <t xml:space="preserve">BARAYA </t>
  </si>
  <si>
    <t xml:space="preserve">VEREDA TERESA. REPORTE DEL CREPAD. </t>
  </si>
  <si>
    <t>VEREDA LA PORTADA. REPORTE DEL CREPAD.</t>
  </si>
  <si>
    <t>SECTOR PUERTO BOGOTA. REPROTE DEL CREPAD .</t>
  </si>
  <si>
    <t>SECTOR CHINAUTA. REPORTE DEL CREPAD.</t>
  </si>
  <si>
    <t>MESETAS</t>
  </si>
  <si>
    <t>CRECIENTE CAÑO LA PEÑA.. AFECTADO PUENTE QUE COMUNICA LA URIBE - MESETAS.</t>
  </si>
  <si>
    <t>VEREDA EL PLACER, DESLIZAMIENTO SOBRE VEHICULO, MURIO EL CONDUCTOR. REPORTE DE LA DEFENSA CIVIL.</t>
  </si>
  <si>
    <t>REPORTE DE CREPAD.</t>
  </si>
  <si>
    <t>REPORTE DEL CREPAD. SECTOR DEL CENTRO.</t>
  </si>
  <si>
    <t>PUERTO LOPEZ</t>
  </si>
  <si>
    <t xml:space="preserve"> REPORTE DEL CLOPAD. BARRIOS BERNAL, EL PILAR Y CHAPAL. SECTOR MIJITAYO</t>
  </si>
  <si>
    <t>PAMPLONA</t>
  </si>
  <si>
    <t>BARRIOS SIMON BOLIVAR, REPORTE DEL CREPAD.</t>
  </si>
  <si>
    <t>BARRIO JUPITER. REPORTE DEL CREPAD.</t>
  </si>
  <si>
    <t>VEREDA CURBATA. REPORTE DEL CREPAD</t>
  </si>
  <si>
    <t>CAQUETA</t>
  </si>
  <si>
    <t>89
97
99
107</t>
  </si>
  <si>
    <t>TORO</t>
  </si>
  <si>
    <t>DESBORDAMIENTO DE LAS QUEBRADAS LA PALMA, SAN CRISTOBAL Y NALI Y RIO SUMAPAZ.. REPORTE DEL CREPAD.</t>
  </si>
  <si>
    <t>ANDALUCIA</t>
  </si>
  <si>
    <t>CORREGIMIENTO EL SALTO. REPORTE DEL CREPAD.</t>
  </si>
  <si>
    <t>VEREDAS SAN RAFAEL BAJO, CAMPANA, EL ENCANTO, AGUALINDA. REPORTE DEL CREPAD.</t>
  </si>
  <si>
    <t>CORREGIMIENTO ROSO, SECTORES LA SEQUIA, CAMPANA, CALLEJON Y PATOTAS. SITUACION EN EVALUACION. REPORTE DEL CREPAD</t>
  </si>
  <si>
    <t>CORREGIMIENTO CEYLAN, VEREDAS SAN ISIDRO ALTO Y BAJO ALTO BONITO, Y CHIGUALES.. REPORTE DEL CREPAD.</t>
  </si>
  <si>
    <t>EL CERRITO</t>
  </si>
  <si>
    <t>CORREGIMIENTO SAN ANTONIO. REPORTE DEL CREPAD.</t>
  </si>
  <si>
    <t>CORREGIMEINTO EL RAISAL. AFECTADO CENTRO COMUNITARIO EMBERA CHAMI. REPORTE DEL CREPAD.</t>
  </si>
  <si>
    <t>VILLA RICA</t>
  </si>
  <si>
    <t>BARRIOS BELLAVISTA, ALMENDROS, LA LAGUNA, VILLA ARIEL EL JARDIN, VALENTIN, TERMINAL, VEREDA LA PRIMAVERA Y AGUAZUL.REPORTE DEL CREPAD.</t>
  </si>
  <si>
    <t>203
217</t>
  </si>
  <si>
    <t>PRADO</t>
  </si>
  <si>
    <t>CRECIENTE RIO BOGOTA. VEREDA PORTILLO Y CAMELLON DEL RIO. REPORTE DEL CREPAD.</t>
  </si>
  <si>
    <t>RIVERA</t>
  </si>
  <si>
    <t>PERDIDA DE CULTIVOS. DE PLATANO,. YUCA, PAPAYA, TOMATE Y PEPINO.</t>
  </si>
  <si>
    <t>DESBORDAMIENTO RIO NEIVA VEREDA LLANITOS, FINCA LA MARINA. AFECTADA VIA NEIVA - PITALITO. REPORTE DEL CREPAD.</t>
  </si>
  <si>
    <t>LA VIRGINIA</t>
  </si>
  <si>
    <t>SE APOYA A TRAVES DEL CREPAD</t>
  </si>
  <si>
    <t>SECTORES VEREDAS CARAMACO ALTO Y CARAMACO BAJO. REPORTE DEL CREPAD. SOLICITAN APOYO PARA VIAS PERO NO ENVIAS DOCUMENTOS.</t>
  </si>
  <si>
    <t>SE APOYA TENIENDO EN CUENTA LA MAGNITUD D ELA EMERGENCIA</t>
  </si>
  <si>
    <t>BARRIO LIBANO, EL PUENTE, EL TIGRE SILIO DE LA VIRGEN Y SAN RAFAEL. SECTOR MONTE SAGRADO. REPROTE DEL CREPAD. APOYO DEL FNC MEDIANTE GIRO DIRECTO AL CLOPAD PARA LA CONSTRUCCION DE ALBERGUES TEMPORALES, DUCHAS, KIT DE ASEO, ALIMENTOS Y HORAS DE MAQUINARIA. SE COORDINO APOYO CON LA FAC.</t>
  </si>
  <si>
    <t>SECTOR LOS ALAMOS. VIA BUCARAMANGA - BOGOTA. REPORTE EL CREPAD. SOLICITAN RECURSOS PARA ESTABILIZACION DE TALUD Y VIAS (SIN CUANTIFICAR) . PASA A COORDINACION REGIONAL Y EN NOVIEMBRE SE REGRESA AL CREPAD YA QUE NO SE RECIBE INFORMACION COMPLEMENTARIA</t>
  </si>
  <si>
    <t>QUEBRADA LORENA. VEREDA MARINILLA. SECTOR CERRO REDONDO, CUESTA RICA, LAS ADJUNTAS, SOLEDAD, SANTODOMINGO Y LA MORENA. REPORTE DEL CLOPAD.</t>
  </si>
  <si>
    <t>BARRIO ESTRELLA NORTE, VEREDA ESMERALDA, VEREDA SOMBREREROS, Y VEREDA DANUBIO. REPORTE DEL CLOPAD.</t>
  </si>
  <si>
    <t>BARRIO PUERTAS DE LCARIBE. REPORTE DEL CLOPAD.</t>
  </si>
  <si>
    <t xml:space="preserve">REPORTE DEL LOPAD. SECTOR DE CUCHILLA DE VILLATE, NUEVA COLOMBIA, CIUDAD MODESTO, EL BOSQUE, EL SIETE DE AGOSTO, ANGELES 2 Y 3 Y LA DELICIAS. </t>
  </si>
  <si>
    <t>DESBORDAMIETNO RIO MAGDALENA. VEREDAS PUERTO LOS MANGOS, TOMAS, PLAYAS, BARBACOAS, ROMPEDEROS, CAÑO HUILA, SARDINATA BAJA, REMOLINOS, PUERTO NUEVO, LA FELICIDAD, RINCONADA, TANQUERA, ROTA 1 Y 2 , BELLA VISTA, EL GUAMO, CAMPO SISITARRA, EL BAGRE, EL TAMAR, CAÑO NEGRO. REPORTE DE LA DEFENSA CIVIL.</t>
  </si>
  <si>
    <t>DESBORDAMIENTO RIO MAGDALENA Y SOGAMOSO, VEREDAS LA UNION, NUEVA VENECIA, FLORIDA, CANDELARIA, PORVENIR, PLAYON, CAÑO RASQUIÑA, LA COLORADA, CAMPO GALAN, LA ESMERALDA, LA HORTENCIA, CORREGIMIENTYO PUENTE SOGAMOSO. AFECTADA LA VIA PUENTE SOGAMOSO - BARRANCABERMEJA. REPORTE DE LA DEFENSA CIVIL.</t>
  </si>
  <si>
    <t>AFECTADA VIA GAMEZA - SATIVA SUR. VEREDA MOTUA. REPROTE EL CREPAD</t>
  </si>
  <si>
    <t>SATIVASUR</t>
  </si>
  <si>
    <t>MILAN</t>
  </si>
  <si>
    <t>DESBORDAMIENTO RIO ORTEUAZA REPORTE DEL CREPAD.</t>
  </si>
  <si>
    <t xml:space="preserve">KILOMETRO 7 VIA AL CORREGIMIENTO LAS PIEDRAS. </t>
  </si>
  <si>
    <t>PORE</t>
  </si>
  <si>
    <t>DESBORDAMIENTO RIO PORE EN VEREDAS LA LIMITE Y EL BANCO. REPORTE DEL CREPAD</t>
  </si>
  <si>
    <t>MANI</t>
  </si>
  <si>
    <t>DESBORDAMIENTO RIO META VEREDDAS LA POLLATA Y EL LIMONAR.  REPORTE DEL CREPAD</t>
  </si>
  <si>
    <t>YOPAL</t>
  </si>
  <si>
    <t>CRECIENTE QUEBRADA PITIMENA EN LA VEREDA PITIMENA. REPORTE DEL CREPAD</t>
  </si>
  <si>
    <t>DESBORDAMIENTO RIO CASANARE. REPORTE DEL CREPAD.</t>
  </si>
  <si>
    <t>BARRIO CIENAGA CALLE 9 CARRERA 13 REMOCION EN MASA POR FUERTES LLUVIAS</t>
  </si>
  <si>
    <t>GUAJIRA</t>
  </si>
  <si>
    <t>MANAURE</t>
  </si>
  <si>
    <t>CHOCO</t>
  </si>
  <si>
    <t>BAHIA SOLANO</t>
  </si>
  <si>
    <t>SANTANDER</t>
  </si>
  <si>
    <t>ARGELIA</t>
  </si>
  <si>
    <t>PEREIRA</t>
  </si>
  <si>
    <t>AFECTADO COLEGIO EN LA VEREDA TICUAQUITA. REPORTE DEL CREPAD.</t>
  </si>
  <si>
    <t>DESBORDAMIENTO QUEBRADA AMANZAGUAPOS, AFECTANDO CASCO URBANO. REPORTE DEL CREPAD.</t>
  </si>
  <si>
    <t>DESBORDAMIENTO RIO GUABAS, QUEBRADA VANEGAS Y LA ACEQUIA EL AVILA, CORREGIMIENTOS LA FLORESTA, COSTA RICA, SABALETA, LAS JUNTAS, VEREDAS BARBACOAS 2, LA CUESTA, EL GUABITO, BARRANCO BAJO, REPORTE DEL CLOPAD.</t>
  </si>
  <si>
    <t>PERDIDA DE CULTIVOS DE TRUCHA</t>
  </si>
  <si>
    <t>PIOJO</t>
  </si>
  <si>
    <t>SECTOR KM 2 VIA A BARRANQUILLA.REPORTE DE LA DEFENSA CIVIL</t>
  </si>
  <si>
    <t>DESBORDAMIENTO DEL ARROYO SOCAVON CORREGIMIENTO HIBACHAR. REPROTE DE LA DEFENSA CIVIL</t>
  </si>
  <si>
    <t>LURUACO</t>
  </si>
  <si>
    <t>DESBORDAMIENTO LAGUNA DE LURUACO. BARRIOS LA UNION SAN FELIPE, CORREGIMIENTO TOCAGUA, REPORTE DELA DEFENSA CIVIL.</t>
  </si>
  <si>
    <t>CAIDA DE ARBOLES Y POSTES DE LUZ</t>
  </si>
  <si>
    <t>BARRIOS LA COLINA, LA LIBERTAD, NUEVA GRANADA, BRISAS BAJO, INDEPNENCIA, BRISAS DE VENADO. REPORTE DEL CREPAD.</t>
  </si>
  <si>
    <t>DESBORDAMIENTO RIO ZULIA. REPORTE DEL CREPAD.</t>
  </si>
  <si>
    <t>SALAZAR</t>
  </si>
  <si>
    <t>AFECTADA VIA PAMPLONA - MALAGA. REPORTE DEL CREPAD</t>
  </si>
  <si>
    <t>DESBORDAMIENTO RIO SARDINATA. REPORTE DEL CREPAD.</t>
  </si>
  <si>
    <t>GRAMALOTE</t>
  </si>
  <si>
    <t>AFECTADA VIA GRAMALOTE - LOURDES. REPORTE DEL CREPAD.</t>
  </si>
  <si>
    <t>BARRIO SAN FRANCISCO DE ASIS. REPORTE DE LA DEFENSA CIVIL.</t>
  </si>
  <si>
    <t>DESBORDAMIENTO RIO MAGDALENA. REPORTE DEL CREPAD.</t>
  </si>
  <si>
    <t>CRECIENTE SUBITA RIO MAPA. SECTOR LA MARINA. REPORTE DEL CREPAD.</t>
  </si>
  <si>
    <t xml:space="preserve">FUERTES LLUVIAS. SECTOR MANZANARES. REPORTE DEL CLOPAD. </t>
  </si>
  <si>
    <t>DESBORDAMIENTO QUEBRADA CAÑAS.,VEREDA CAPA ROSAL. REPORTE DEL CREPAD.</t>
  </si>
  <si>
    <t>AFECTADOS DOS VEHICULOS</t>
  </si>
  <si>
    <t xml:space="preserve">VEREDA NARANJAL. AFECTADAS VIAS SAN MIGUEL - PUERTO TRIUNFO Y LOS PLANES - LOS MEDIOS. REPORTE DEL CREPAD. </t>
  </si>
  <si>
    <t>DESBORDAMIENTO QUEBRADA GUADALAJARA. REPORTE DEL CREPAD.</t>
  </si>
  <si>
    <t>DESBORDAMIETNO RIO OCOA. BARRIOS JUAN PABLO SEGUNDO Y PRIMERO DE MAYO, REPORTE DEL CREPAD.</t>
  </si>
  <si>
    <t>DESBORDAMIENTO RIO CAUCA. VEREDA BELTRAN. REPORTE DEL CREPAD.</t>
  </si>
  <si>
    <t>VEREDA LA TRIBUNA. REPORTE DEL CREPAD.</t>
  </si>
  <si>
    <t>DESBORDAMIENTO RIO CUCUANA. VEREDA PUENTE CUCUANA. REPORTE DEL CREPAD.</t>
  </si>
  <si>
    <t>PUERTO WILCHES</t>
  </si>
  <si>
    <t>DESBORDAMIENTO CAÑO CASCAQUERA. REPORTE DE DEFENSA CIVIL</t>
  </si>
  <si>
    <t>RIOSUCIO</t>
  </si>
  <si>
    <t>OLAYA HERRERA</t>
  </si>
  <si>
    <t>BARRIOS CORTINAS DEL ZAQUE, EL CARMEN, SAN ANTONIO, LOS COJINES, JORDAN, BACHUE, LAS QUINTAS REMANSO DE SANTA INES. FUERTES LLUVIAS. REPORTE DE DEFENSA CIVIL Y DEL CREPAD.</t>
  </si>
  <si>
    <t>DESBORDAMIENTO ARROYO LAS NIEVES, BARRIO LAS NIEVES. REPORTE DEL CLOPAD.</t>
  </si>
  <si>
    <t>DESBORDAMIENTO DE ARROYOS BARRIO LA LUZ.</t>
  </si>
  <si>
    <t>BARRIO AMERICAS. REPORTE DEL CLOPAD.</t>
  </si>
  <si>
    <t>SECTOR PUERTO SECO. AFECTADA VIA QUE COMUNICA A PITALITO, FLORENCIA Y MOCOA, POR CAIDA DE ARBOLES EN DIFERENTES PUNTOS</t>
  </si>
  <si>
    <t xml:space="preserve">BARRIOS LA GAVIOTA, ALASKA, MARTINICA, TESORITO, SIETE DE AGOSTO. REPORTE DEL CLOPAD. </t>
  </si>
  <si>
    <t>AFECTADO PUENTE VEHICULA EN VIA NACIONAL A LA COSTA. SECTOR SAN ROQUE, PUENTE CUATRO BOCAS. REPORTE DE LA POLICIA DE CARRETERAS.</t>
  </si>
  <si>
    <t>DESLIZAMIENTO SOBRE BUSETA SECTOR LECHERITA, VIA LA RAYA, SITIO LA ESPERANZA. REPORTE DE SOCORRO NACIONAL.</t>
  </si>
  <si>
    <t xml:space="preserve">BARRIO SAN LUIS Y VEREDA LA AURORA. REPORTE DE SOCORRO NACIONAL. </t>
  </si>
  <si>
    <t>CARRERA 3 CALLE 9 REPORTE DEL CREPAD.</t>
  </si>
  <si>
    <t>DESBORDAMIENTO DEL LAGO. REPORTE DEL CREPAD</t>
  </si>
  <si>
    <t>AFECTADA VIA ZIPAQUIRA UBATE KM 41. REPORTE DEL CREPAD</t>
  </si>
  <si>
    <t>DESBORDAMEINTO RIO BOGOTA. VEREDAS CHUNTAME, CANELON, HATO GRANDE. REPORTE DEL CREPAD.</t>
  </si>
  <si>
    <t>SAN FRANCISO</t>
  </si>
  <si>
    <t>VEREDA PEÑA ALTA. REPROTE DE LA DEFENSA CIVIL</t>
  </si>
  <si>
    <t>SECTOR RIVERA DEL RIO. REPORTE DEL CLOPAD.</t>
  </si>
  <si>
    <t>CORREGIMEINTO LA VILLA. AFECTADAS VIAS LEYVA - LAS DELICIAS, LA GARGANTA - EL PLACER, LAS DELICIAS - MAMACONDE, LEYVA - LE PALMAR, EL PALMAR - EL CHUCHO, EL PALMAR - LA VILLA, LEYVA - PUERTO NUEVO. REPROTE DEL CREPAD.</t>
  </si>
  <si>
    <t>ANCUYA</t>
  </si>
  <si>
    <t>DESBORDAMIENTO RIO UPIA. AFECTADO PUENTE QUE COMUNICA META CON CASANARE. REPORTE DEL CREPAD.</t>
  </si>
  <si>
    <t>CISNEROS</t>
  </si>
  <si>
    <t>REPORTE DE LA DEEFENSA CIVIL EN CONSOLIDACION DE INFORMACION</t>
  </si>
  <si>
    <t>SAN ESTANISLAO DE KOSTA</t>
  </si>
  <si>
    <t>PALESTINA</t>
  </si>
  <si>
    <t>CABUYARO</t>
  </si>
  <si>
    <t>YUMBO</t>
  </si>
  <si>
    <t>SAPUYES</t>
  </si>
  <si>
    <t>COMUNIDADES DE LOS MONOS, MARAMBA, LA FLORESTA. VIA SAPAUYES MALAVER, REPORTEDE L CREPAD.</t>
  </si>
  <si>
    <t>ANDES</t>
  </si>
  <si>
    <t>VEREDAS PANGOS, LAS DELICIAS, CAMPOBELLO, PITAL, LOS GUABOS, SAN VICENTE, LA ESMERALDA, EL BOQUERON, EL HUILQUE, VIAS CURIACO - GUAYABAL Y LOS GUABOS - PANGOS.REPROTE DEL CREPAD.</t>
  </si>
  <si>
    <t>GUAITARILLA</t>
  </si>
  <si>
    <t>VIAS GUAITARILLA - MOTILON, GUAITARILLA - CABUYO, GUAITARILLA - SAN ALEJANDRO, GUAITARILLA - PLAN GRANDE, GUAITARILLA - YUNGUITA, GUAITARILLA - GUAITARA, CUATRO ESQUINAS - GIRARDOT, GIRARDOT - EL ROSARIO DE INGA, GUATARILLA - CIENAGA, SAN JOSE - BUENOS AIRES. REPORTE DEL CREPAD.</t>
  </si>
  <si>
    <t>SAN PEDRO DE CARTAGO</t>
  </si>
  <si>
    <t>VEREDAS LA COMUNIDAD, LA RINDONADA, CHIMAJOY BAJO, EL SALADO. VIA LA ESTANCIA - BOTANILLA Y VIA NACIONAL LA RINCONADA. REPORTE DEL CREPAD.</t>
  </si>
  <si>
    <t>CUMBAL</t>
  </si>
  <si>
    <t>VIAS EL TAMBO - SAN FELIPE, PANAMERICANA - CARLO SAMA, CUMBAL - LA HORTIGA, VIA AL NEVADO KM 4. REPORTE DEL CREPAD.</t>
  </si>
  <si>
    <t>VEREDA MORALES. REPORTE DEL CREPAD.</t>
  </si>
  <si>
    <t>CERRO ALTO DE CUPIDO, REPORTE DE SOCORRO NACIONAL EN EVALUACION.</t>
  </si>
  <si>
    <t>MARIPI</t>
  </si>
  <si>
    <t xml:space="preserve"> PUENTE AVERIADO SOBRE LA QUEBRADA LA LOCHA. REPORTE DEL CREPAD.</t>
  </si>
  <si>
    <t>DESBORDAMIENTO RIOS LA VEGA Y EL JORDAN  SECTORES POZO DONATO, MANZANARES. REPORTE DEL CREPAD. PENDIENTE AFECTACION.</t>
  </si>
  <si>
    <t>DESBORDAMIENTO RIO PUTUMAYO CORREGIMIENTOS DE PUERTO ARICA, CHORRERA Y PUERTO ALEGRIA. Y RIO AMAZONAS EN LA ZONA URBANA DE LETICIA. REPORTE DEL CREPAD.</t>
  </si>
  <si>
    <t>DESBORDAMIENTO RIO UPIA. AFECTANDO LAS VEREDAS PUERTO NUEVO, CAÑO BLANCO, PALMICHAL, PLANADAS, CAÑO BARROSO, AGUAS CALIENTES, JOAQUI, REPORTE DEL CREPAD.</t>
  </si>
  <si>
    <t>LOCALIDAD DE USME CARRERA 18E NO. 81 A 11 SUR. REPORTE DE FOPAE</t>
  </si>
  <si>
    <t>VEREDA LA HERRADURA. REPORTE DEL CREPAD. VIA ARGELIA - ANSERMANUEVO. R</t>
  </si>
  <si>
    <t>YOTOCO</t>
  </si>
  <si>
    <t>DESBORDAMIENTO RIO RISARALDA. VEREDA LA MARIA, REPORTE DEL CREPAD.</t>
  </si>
  <si>
    <t>VEREDA EL TAMBO. REPORTE DEL CREPAD.</t>
  </si>
  <si>
    <t>BARRIOS CAMPO ALEGRA Y GRANJAS. REPORTE DEL CREPAD.</t>
  </si>
  <si>
    <t>MARQUETALIA</t>
  </si>
  <si>
    <t>BARRIOS SAN CAYETANO. VILLANUEVA.. REPORTE DEL CREPAD.</t>
  </si>
  <si>
    <t>CRECIENTE RIO CAUCA. VEREDA LA FELISA. REPORTE DEL CREPAD.</t>
  </si>
  <si>
    <t>SUPIA</t>
  </si>
  <si>
    <t>VEREDA SAN FRANCISCO. REPORTE DEL CREPAD.</t>
  </si>
  <si>
    <t>MARULANDA</t>
  </si>
  <si>
    <t>CORREGIMIENTO MONTE BONITO. REPORTE DEL CREPAD.</t>
  </si>
  <si>
    <t>DESBORDAMIENTO RIO MAGDALENA SECTORES PUERTO CAPULCO, EL CONTENTO, PUERTO MOSQUITO, PALENQUILLO, PUERTO VIEJO, CASCAJAL. REPORTE DEL CREPAD.REPORTE DE LA DEFENSA CIVIL</t>
  </si>
  <si>
    <t>EVREDA PALMARITO REPROTE DEL CREPAD. AFECTADO EL TUBO DEL OLEODUCTO EL CUAL VERTIO 400 BARRILES DE CRUDO.</t>
  </si>
  <si>
    <t>VIA KM 3. REPORTE DEL CREPAD.</t>
  </si>
  <si>
    <t>REPORTE DEL CREPAD. AFECTANDO BOCATOMA DEL ACUEDUCTO.</t>
  </si>
  <si>
    <t>RECURSOS EJECUTADOS</t>
  </si>
  <si>
    <t>DESBORDAMIENTO RIO MAGDALENA BOCAS DE SAN ANTONIO.</t>
  </si>
  <si>
    <t>APOYO GLOBAL PARA LOS MUNICIPIOS DE LA VIRGINIA, QUINCHIA, LA CELIA, SANTUARIO, MARSELLA</t>
  </si>
  <si>
    <t>SE APOYA A TRAVES DEL CREPAD.</t>
  </si>
  <si>
    <t>APOYADO CON 70.000 SACOS.</t>
  </si>
  <si>
    <t>APOYADO CON 20000 SACOS.</t>
  </si>
  <si>
    <t>SECTORES PUERTO NIÑO, PUERTO SERVIEZ, BARRIOS CHAMBACU, BRISAS BAJO Y ALTO, CARACOLI, VILLA DEL RIO. REPORTE DEL CREPAD.</t>
  </si>
  <si>
    <t>SECTORES GUAMO, PARAMO, SIGUIQUE, GAQUE, OVEJERAS, PIEDRA LARGA REPORTE DEL CREPAD.</t>
  </si>
  <si>
    <t>LA UVITA</t>
  </si>
  <si>
    <t>VARIOS SECTORES. REPORTE DEL CREPAD.</t>
  </si>
  <si>
    <t>TUTASA</t>
  </si>
  <si>
    <t>CHITA</t>
  </si>
  <si>
    <t>PENSILVANIA</t>
  </si>
  <si>
    <t xml:space="preserve">VEREDA LA LINDA. REPORTE DEL CREPAD, DEFENSA CIVIL, CRUZ ROJA. MINPROTECCION </t>
  </si>
  <si>
    <t>SECTOR HIMALAYA. REPORTE DEL CREPAD.</t>
  </si>
  <si>
    <t>285
24984</t>
  </si>
  <si>
    <t>19887
22705
42011
23555</t>
  </si>
  <si>
    <t>306
307
21045
23551
23555</t>
  </si>
  <si>
    <t>SABANAGRANDE</t>
  </si>
  <si>
    <r>
      <t>CABECERA MUNICIPAL Y CORREGIMIENTOS REAL DEL OBISPO Y SAN LUIS.</t>
    </r>
    <r>
      <rPr>
        <b/>
        <sz val="9"/>
        <rFont val="Arial"/>
        <family val="2"/>
      </rPr>
      <t xml:space="preserve"> EL VALOR DE OTROS CORRESPONDE A UNA MOTOBOMBA DE 8"X8". APOYO DEL FNC MEDIANTE GIRO DIRECTO AL CLOPAD PARA ADQUISICION DE COMBUSTIBLE, , ALQUILER DE 15 MOPTOBOMBAS, PAGO DE BRIGADAS MEDICAS, TRANSPORTE DE AYUDAS HUMANITARIAS</t>
    </r>
  </si>
  <si>
    <t>VEREDA LA PALMA. PASCOTE, LA CONCEPCION, CERINZA, CARMEN ABAJO, REPORTE DE LA DEFENSA CIVIL APOYO DEL FNC MEDIANTE GIRO DIRECTO AL CLOPAD PARA LA RECONSTRUCCION EN SITIO DE LAS 20 VIVIENDAS AFECTADAS</t>
  </si>
  <si>
    <t>BARRIOS LAS AURORAS Y LAS CRUCES. REPORTE DEL CREPAD.</t>
  </si>
  <si>
    <t>BARRIOS SAN JORGE Y BUENOS AIRES. REPORTE DE DEFENSA CIVIL</t>
  </si>
  <si>
    <t>LA CUMBRE</t>
  </si>
  <si>
    <t>DESBORDAMEINTO QUEBRADA LA PALMA, VEREDAS SANTA HELENA, PAPALITO, LA PLAYA AFECTACIONE EN VIAS. REPORTE DEL CREPAD.</t>
  </si>
  <si>
    <t>AFECTADO EL CASCO URBANO POR FALTA DE SUMINSITRO DE AGUA POTABLE. REPORTE DEL CREPAD.</t>
  </si>
  <si>
    <t>SECTORES LA MARIA, BARRIOS BUENOS AIRES BAJO, LAS AMERICAS AFECTADA VIA CALARCA - ALTO DEL RIO. REPORTE DEL CREPAD.</t>
  </si>
  <si>
    <t>SECTORES SAN VICENTE, PLAN, ALBAÑILES, REPORTE DEL CREPAD.</t>
  </si>
  <si>
    <t>PERDIDA DE CULTIVOS DE PAPA ARVEJA Y PASTOS.</t>
  </si>
  <si>
    <t>BELEN</t>
  </si>
  <si>
    <t>DESBORDAMIENTO RIO MINAS. SECTORES TUATE ALTO, VEREDA LA VENTA. REPROTE DEL CREPAD</t>
  </si>
  <si>
    <t>PERDIDA DE 273 AVES DE CORRAL.</t>
  </si>
  <si>
    <t>PARTE ALTA VEREDA CAÑITAS. SECTOR TOUMO. REPORTE DEL CREPAD.</t>
  </si>
  <si>
    <t>PERDIDAS EN CULTIVOS.</t>
  </si>
  <si>
    <t>AFECTADA VIA PALERMO - GAMBITA REPORTE DEL CREPAD.</t>
  </si>
  <si>
    <t>DESBORDAMIENTO RIO CAUCA Y RISARALDA. BARRIOS SAN CARLOS, BUENOS AIRES, LA PLAYA, LAS AMERICAS EL PROGRESO, TANGARIFE 1 Y 2, ALFONSO LOPEZ, SAN ANTONIO. REPORTE DEL CREPAD.</t>
  </si>
  <si>
    <t>DESBORDAMIENTO RIO TOTUI VEREDA TOTUI REPORTE DEL CREPAD.</t>
  </si>
  <si>
    <t>VEREDA LA QUIEBRE. REPORTE DEL CREPAD.</t>
  </si>
  <si>
    <t>VEREDA TARQUI, SAN CLEMENTE. REPORTE DEL CREPAD.</t>
  </si>
  <si>
    <t>REPORTE DEL CREPAD AFECTADA VIA PRINCIPAL TRONCAL NACIONAL.</t>
  </si>
  <si>
    <t>LOCALIDAD CIUDAD BOLIVAR BARRIO SOTAVENTO. REPORTE DEL SOCORRO NACIONAL Y DEFENSA CIVIL.</t>
  </si>
  <si>
    <t>VEREDA LA MARIA. AFECTADO PUETNE PESTONAL QUE COMUNICA LA VEREDA LA MADERA CON LA VEREDA PALO CRUZAL.  REPORTE DEL CREPAD.</t>
  </si>
  <si>
    <t>PERDIDA DE CULTIVOS DE CAFÉ, HABICHUELA, PLATANO, HELECHOS.</t>
  </si>
  <si>
    <t xml:space="preserve">DESBORDAMIENTO RIO UNGUIA. REPORTE DE LA DEFENSA CIVIL. </t>
  </si>
  <si>
    <t>DESBORDAMEINTO RIO LA ESTRELLA. RESGUARDO INDIGENA LA MONTAÑA. REPORTE DEL CREPAD.</t>
  </si>
  <si>
    <t>AFECTADO PUENTE VEHICULAR DON NICOLAS VEREDA LA BOHEMIA. AFECTADA VIA CALARCA - ALTO DEL RIO. REPROTE DEL CREPAD. CIERRE DEL PUENTE.</t>
  </si>
  <si>
    <t>VEREDA EL TOGO. AFECTACION EN ACUEDUCTO DE LAS VEREDAS SAN ISIDRO Y SAN ALFONSO. REPORTE DEL CREPAD.</t>
  </si>
  <si>
    <t>CORREGIMEINTO LA JUANA. REPORTE DEL CREPAD.</t>
  </si>
  <si>
    <t>MACEO</t>
  </si>
  <si>
    <t>CARCO URBANO. REPORTE DEL CREPAD.</t>
  </si>
  <si>
    <t>BEGACHI</t>
  </si>
  <si>
    <t>VEREDA LA MURIENDA Y LA PLANTA. REPORTE EL CREPAD</t>
  </si>
  <si>
    <t>INUNDAICON  POR FUERTES LLUVIA, VEREDA EL GOLPE, REPORTE DEL CREPAD</t>
  </si>
  <si>
    <t>SECTOR RURAL. REPORTE DEL CREPAD.</t>
  </si>
  <si>
    <t>SAN VICENTE</t>
  </si>
  <si>
    <t>REPORTE DEL CREPAD. AFECTADO EL COLISEO.</t>
  </si>
  <si>
    <t>CASCO URBANO. REPROTE DEL CREPAD.</t>
  </si>
  <si>
    <t>VEREDA LA MADERA. REPORTE DEL CREPAD.</t>
  </si>
  <si>
    <t xml:space="preserve">PERDIDA DE CULTIVOS DE PAPA. </t>
  </si>
  <si>
    <t>ANSERMA</t>
  </si>
  <si>
    <t>VEREDA MORRO AZUL. REPORTE EL CREPAD.</t>
  </si>
  <si>
    <t>DESBORDAMIENTO RIO MANZANARES Y QUEBRADA TAMACA. BARRIOS NUEVA MANSION, LA ESMERALDA, BULEVAR DEL RIO, TAYRONA, VILLA DEL RIO, OCHODE, FEBRERO, PAMPLONITA, MALVINAS, VILLA U, SIMON BOLIVAR, SALAMANCA REPORTE DEL CLOPAD.</t>
  </si>
  <si>
    <t>GIRALDO</t>
  </si>
  <si>
    <t>DESBORDAMIENTO ARROYO JULIAN. VEREDA CASA ALUMINIO, LAS FLORES, REMEDIOS, PALOMINO, LOS ROSALES, RIO CLARO, LAS MARIAS.. REPORTE DE LA DEFENSA CIVIL.</t>
  </si>
  <si>
    <t>SANTO TOMAS</t>
  </si>
  <si>
    <r>
      <t>BARRIOS BIENA ESPERANZA, 7 DE AGOSTO, VOLVER A VIVIR, Y 20 DE JULIO. REPORTE DEL CREPAD Y CLOPAD.</t>
    </r>
    <r>
      <rPr>
        <b/>
        <sz val="9"/>
        <rFont val="Arial"/>
        <family val="2"/>
      </rPr>
      <t xml:space="preserve"> APOYO DEL FNC MEDIANTE GIRO DIRECTO AL CLOPAD PARA LA ADQUISICION DE COMBUSTIBLE Y LUBRICANTE PARA LA OPERACIÓN DE MOTOBOMBAS EN LA ZONA DE INUNDACION.</t>
    </r>
  </si>
  <si>
    <t>DESBORDAMIENTO RIO CAUCA. REPORTE DEL CREPAD.</t>
  </si>
  <si>
    <t>GUICAN</t>
  </si>
  <si>
    <t>SECTOR PEÑON DE LOS MUERTOS REPORTE DEL CREPAD.</t>
  </si>
  <si>
    <t>DESBORDAMIENTO QUEBRADA KINIGUCA DE APORE. VEREDA CHINITA. REPORTE DE LA DEFENSA CIVIL.</t>
  </si>
  <si>
    <t>VEREDA BOQUERON REPORTE DE LA DEFENSA CIVIL.</t>
  </si>
  <si>
    <t>BARRIOS ALBANIA, BUENAVISTA, ANTONIO SANTOS SUR, GRANJAS DE PROVENZA, COMUNA 11 REPROTE DELÑ CLOPAD.</t>
  </si>
  <si>
    <t>BARRIO CINCO ESTRELLAS. REPROTE DEL CREPAD.</t>
  </si>
  <si>
    <t>POSTES DE ENERGIA ELECTRICA</t>
  </si>
  <si>
    <t>VEREDA SAN VICENTE. REPORE DEL CREPAD.</t>
  </si>
  <si>
    <t>DESBORDAMIENTO RIO MAGDALENA, PENDIETE AFECTACION.</t>
  </si>
  <si>
    <t>AFECTADO OLEODUCTO CAÑO LIMON - COVEÑAS. REPORTE DEL CREPA.</t>
  </si>
  <si>
    <t>ROLDANILLO</t>
  </si>
  <si>
    <t>DESBORDAMIENTO RIO ROLDANILLO. BARRIOS ASUNCION, LA HERMITA, EL LLANITO EL CENTRO Y SIMON BOLIVAR.  REPROTE DEL CREPAD.</t>
  </si>
  <si>
    <t>SE APOYA TENENDO EN CUENTA LA MAGNITUD E LA EMERGENCIA</t>
  </si>
  <si>
    <r>
      <t>REPORTE DEL CREPAD</t>
    </r>
    <r>
      <rPr>
        <b/>
        <sz val="9"/>
        <rFont val="Arial"/>
        <family val="2"/>
      </rPr>
      <t xml:space="preserve"> APOYO DEL FNC MEDIANTE GIRO DIRECTO AL CLOPAD PARA LA ADQUISICION DE COMBUSTIBLE Y MANTENIMIENTO DE MOTOBOMBAS.</t>
    </r>
  </si>
  <si>
    <t>SALAMINA</t>
  </si>
  <si>
    <t>SUAZA</t>
  </si>
  <si>
    <t>VEREDAS LAS QUEMADAS, HATO VIEJO, LA ISLA. REPORTE DEL CREPAD.</t>
  </si>
  <si>
    <t>DOS ESTABLECIMEINTOS COMERCIALES.</t>
  </si>
  <si>
    <t>TESALIA</t>
  </si>
  <si>
    <t>DESBORDAMIENTO RIO MAGDALENA AFECTADO EL 90% DEL CASCO URBANO. REPORTE DEL CREPAD.</t>
  </si>
  <si>
    <t>AFECTADA VIA DE ACCESO.CULEBRITA, SAN CAYETANO Y MONTERO. REPORTE DEL CREPAD.</t>
  </si>
  <si>
    <t>VEREDA GUACAS. REPORTE DEL CREPAD.</t>
  </si>
  <si>
    <t>QUINCHIA</t>
  </si>
  <si>
    <t>VEREDA MATECAÑA. REPORTE DEL CREPAD.</t>
  </si>
  <si>
    <t>BARRIO MOTORISTA. REPORTE DEL CREPAD.</t>
  </si>
  <si>
    <t>VEREDA SIBERIA, PARQUE DEL TAMA. REPROTE DEL CREPAD</t>
  </si>
  <si>
    <t>LOCALIDAD DE USAQUEN. BARRIO SANTA CECILIA NORTE. CALLE 162 A CR 1B. REPROTE DE DEFENSA CIVIL.</t>
  </si>
  <si>
    <t>VEREDA AURORA ALTA.  REPORTE DE LA DEFENSA CIVIL Y CREPAD.</t>
  </si>
  <si>
    <t>SECTOR LA CAPILLA KM 4 VIA GUAVIO, REPORTE DE DEFENSA CIVIL.</t>
  </si>
  <si>
    <t>BARRIOS MORMONES, CAMELIAS, 20 DE JULIO, PALMAR DE LA SIERRA, BOMBEROS, EL LAGUITO SAGUANES, EL INDIGENA, BARRIO LINCON. VARIANTE DEL NORTE, EL CACIQUE, SECTOR VIREN BLANCA. REPORT DEL CREPAD.</t>
  </si>
  <si>
    <t>PADILLA</t>
  </si>
  <si>
    <t>BARRIOS COLOMBIA, BAJO VALLE, CAMPO ALEGRE Y NUEVA COLOMBIA. REPORTE DEL CLOAPD.</t>
  </si>
  <si>
    <t>JURADO</t>
  </si>
  <si>
    <t>SECTOR URBANO. REPROTE DEL CREPAD.</t>
  </si>
  <si>
    <t>VEREDAS PROVINCIA Y LA FORTUNA, REPORTE DEL CREPAD.</t>
  </si>
  <si>
    <t>TOCANCIPA</t>
  </si>
  <si>
    <t>REPORTE DEL CREPAD. VEREDA LA ESMERALDA, SECTOR TINJACA.</t>
  </si>
  <si>
    <t>DESBORDAMEINTO QUEBRADA SAN PEDRUNA. INSPECCION DE SAN PEDRO Y SAN PABLO. REPORTE DEL CREPAD.</t>
  </si>
  <si>
    <t>CORREGIMEINTO PALMITAS, VEREDA URQUITA. REPORTE DEL CREPAD.</t>
  </si>
  <si>
    <t>PERDIDA DE CULTIVOS DE YUCA, PLATANO MAIZ CACAO, GUADUA, FRUTALES</t>
  </si>
  <si>
    <r>
      <t>REPORTE DEL CREPAD..</t>
    </r>
    <r>
      <rPr>
        <b/>
        <sz val="9"/>
        <rFont val="Arial"/>
        <family val="2"/>
      </rPr>
      <t xml:space="preserve"> APOYO DEL FNC MEDIANMTE GIRO DIRECTO AL CLOPAD PARA LA COMPRA DE COMBUSTIBLE PARA LAS MOTOBOMBAS QUE APOYAN LA EVACUACION DE LAS AGUAS.</t>
    </r>
  </si>
  <si>
    <r>
      <t>RIO CAPARROSAL VEREDA CAPÀRROSAL.  REPROTE DEL CREPAD.</t>
    </r>
    <r>
      <rPr>
        <b/>
        <sz val="9"/>
        <rFont val="Arial"/>
        <family val="2"/>
      </rPr>
      <t xml:space="preserve"> EL VALOR DE OTROS CORRESPONDE A LOS SIGUIENTES MATERIALES PARA LA CONSTRUCCION DE ALBERGUES: 200 TEJAS DE ZINC, 600 TABLAS, 150 PARALES, 25 CAJAS DE PUNTILLA, 6 SANITARIOS, Y 2 TANQUES.</t>
    </r>
  </si>
  <si>
    <t>20328
19932</t>
  </si>
  <si>
    <t>GUACAMAYO/CAPITANEJO/OIBA</t>
  </si>
  <si>
    <t>REPORTE DEL CREPAD. APOYO GLOBAL A TRAVES DEL DEPARAMENTO</t>
  </si>
  <si>
    <t>BARRIOS PUEBLITO, AMERICA, SANTODOMINGO, SAN MARTIN, 7 DE ABRIL, ESMERALDA, LA LUZ, LA CHINITA, DON BOSCO, LAS NIEVES, LOS ANGELES, BRISAS DEL RIO, ARBOLEDA, EL BOSQUE, MALVINAS, SAN NICOLAS, SIMON BOLIVAR, FERRI, GALAN, EVARISTO SURDIZ, LAS PALMAS, CUCHILLA DE VILLATE, LAS NIEVES, ALBORADA, CORDIALIDAD, REBOLLO, GIRASOLES, PINAR DEL RIO, LA PRADERA, EL GOLFO, JUAN MINA, ZONA INDUSTRIAL Y ZONA FRANCA. DESBORDAMIENTO DEL CAÑO LA AHUYAMA. REPORTE DEL CLOPAD.</t>
  </si>
  <si>
    <t>DESBORDAMIENTO RIO GUATIQUIA SECTOR VILLA SUAREZ,. REPORTE DE DEFENSA CIVIL.</t>
  </si>
  <si>
    <t>MAGUI PAYAN</t>
  </si>
  <si>
    <t>BARRIOS CUATA, LA PLAYITA, DOCE DE OCTUBRE, EL CEDRO, PROVIDENCIA, 18 DE MAYO CALLES 1,2 Y 3. PARQUE MUNICIPAL. DESBORDAMIENTO RIO MAGUI. REPORTE DEL CREPAD.</t>
  </si>
  <si>
    <t>PUERTO RONDON</t>
  </si>
  <si>
    <t>BARRIO 20 DE JULIO VEREDA COROCITO. DESBORDAMIENTO RIO CASANARE. REPORTE DE LA DEFENSA CIVIL..</t>
  </si>
  <si>
    <t>ARAUQUITA</t>
  </si>
  <si>
    <t>DESBORDAMIENTO RIO ARAUCA. REPORTE DE LA DEFENSA CIVIL</t>
  </si>
  <si>
    <t>SOGAMOSO</t>
  </si>
  <si>
    <t>INUNDACION POR FUERTES LLUVIAS.. REPORTE DE LA CRUZ ROJA.</t>
  </si>
  <si>
    <t>BARRIO SANTODOMINGO. REPORTE DEL CREPAD.</t>
  </si>
  <si>
    <t>CAJICA</t>
  </si>
  <si>
    <t>VEREDA LA CUMBRE. REPORTE DEL CREPAD.</t>
  </si>
  <si>
    <t>SE APOYA EN SACOS COMO MEDIDA DE MITIGACION</t>
  </si>
  <si>
    <t>REPORTE DEL CREPAD. 1000 MERCADOS, 1000 ASEO, 1000 COCINA Y 1000 COLCHENETAS APOYO GLOBAL PARA LOS MUNICIPIOS DE SOLEDAD Y BARRANQUILLA.</t>
  </si>
  <si>
    <t>GUAPI</t>
  </si>
  <si>
    <t>SE APOYA TENIENDO EN CUENTA QUE EN LA MISMA TEMPORADA RESULTARON VARIOS MUNICIPIOS AFECTADOS EN EL DEPARTAMENTO DEL META, POR LO CUAL REQUIEREN DEL APOYO COMPLEMENTARIO DEL NIVEL NACIONAL.</t>
  </si>
  <si>
    <t>CORREGIMIENTO LA BOQUILLA SECTORES MARLINDA Y VILLAGLORIA. REPORTE DEL CRC. PENDIENTE POR EVALUACION.</t>
  </si>
  <si>
    <t>CURUMANI</t>
  </si>
  <si>
    <t>DESBORDAMIENTOR IO MAGDALENA CABECERA MUNICIPAL CORREGIMEINTOS CAIMITAL, SAN LUIS, EL PROGRESO, CASA DE DIOS, JUAN GABRIEL, BLANCA PALOMA, CANTAGALLO. ALTOS DE LA CRUZ Y PANCOGER, PALMARITO, CAMPO ALEGRE SAN JOSE, SAN LUIS, CASA DE DIOS, BLANCAS PALOMAS, JUAN GABRIEL, HATILLO.</t>
  </si>
  <si>
    <t>DESBORDAMIENTO RIO GUATAPURI. VEREDA CAMPANITAL Y CORREGIMIETNO AGUA BLANCA. REPORTE DEL CLOPAD. AFECTACION POR FUERTES LLUVIAS AFECTADO CASCO URBANO Y CORREGIMEINTOS DE BADILLO, VALENCIA DE JESUS VILLA GERMANIA, EL CIELO, LA MINA, CARACOLI, LA CASITA, MARIANGOLA, CAMPERUCHO, MONTEALEGRE, LOS VENADOS GUAYMARAL, SABANITAS, LOS CALABAZOS, LA VEGACAMPANITAL, PATILLAL, CHINGATA.</t>
  </si>
  <si>
    <t>DESBORDAMIENTO QUEBRADA EL PALO, REPORTE DE LA DEFENSA CIVIL</t>
  </si>
  <si>
    <t>DESBORDAMIENTO RIO NECHI Y PORCE</t>
  </si>
  <si>
    <t>DESBORDAMIENTO QUEBRADA LA OCA, Y JUAN VERA.  RIO NECHI,  REPORTE DEL CLOPAD. SE REMITE AL CREPAD PARA REVISAR SITUACION Y AVALAR SOLICITUD.</t>
  </si>
  <si>
    <t>BARBOSA</t>
  </si>
  <si>
    <t>CEPITA</t>
  </si>
  <si>
    <t>CONCEPCION</t>
  </si>
  <si>
    <t>COROMORO</t>
  </si>
  <si>
    <t>EL HATO</t>
  </si>
  <si>
    <t>REPROTE PRELIMINAR DEL CREPAD VIA EMAIL.</t>
  </si>
  <si>
    <t>CANALETE</t>
  </si>
  <si>
    <t>REPORTAN AFECTACION EN VIAS.  APOYO DEL FNC MEDIANE GIRO DIRECTO AL CLOPAD PARA LA REHABILITACION DE LA VIA SINCE-GRANADA-BUENAVISTA.</t>
  </si>
  <si>
    <t>VEREDA LA FERRERIA. REPORTE DEL CREPAD</t>
  </si>
  <si>
    <t>DESBORDAMIENTO RIO MAGDALENA CORREGIMIENTO SAN AGUSTIN. REPORTE DE LA DEFENSA CIVIL</t>
  </si>
  <si>
    <t>SECTOR PUENTE MAUSA. AFECTADA VIA QUE COMUNICA JERICO - SOCOTA Y JERICO CHITA. REPORTE DE EL CREPAD.</t>
  </si>
  <si>
    <t>SOCHA</t>
  </si>
  <si>
    <t>REPORTE DEL CREPAD. SITIO EL ALJIBE.</t>
  </si>
  <si>
    <t>VEREDA PANTANOGRANDE, LA VEREDA SE ENCUENTRA INCOMUNICADA. AFECTADA VIA SAN GIL SOCORRO.  REPORTE DEL CREPAD. Y CLOPAD</t>
  </si>
  <si>
    <t>REPROTE DEL CREPAD. BARRIO CENTRO.</t>
  </si>
  <si>
    <t>TASCO</t>
  </si>
  <si>
    <t>REPORTE DE LA DEFENSA CIVIL Y CLOPAD. SECTOR SABINAS. KM 13. VIA MANIZALES - BOGOTA. FALLECIMEINTO DE OPERARIO DE INVIAS.</t>
  </si>
  <si>
    <t>EL PALMAR</t>
  </si>
  <si>
    <t>GUACA</t>
  </si>
  <si>
    <t>GUAPOTA</t>
  </si>
  <si>
    <t>MACARAVITA</t>
  </si>
  <si>
    <t>RIONEGRO</t>
  </si>
  <si>
    <t>SAN BENITO</t>
  </si>
  <si>
    <t>SANTA HELENA DEL OPON</t>
  </si>
  <si>
    <t>SURATA</t>
  </si>
  <si>
    <t>VALLE DE SAN JOSE</t>
  </si>
  <si>
    <t>21943
22249</t>
  </si>
  <si>
    <t>SE APOYA DE MANERA COMPLEMENTARIA A LOS ESFUERZOS LOCALES Y REGIONAL.</t>
  </si>
  <si>
    <t>AFECTADO BARRIO LA ESMERALDA. REPROTE DEL CREPAD.</t>
  </si>
  <si>
    <t>SE APOYA DE MANERA GLOBAL A TRAVES DEL DEPARTAMENTO</t>
  </si>
  <si>
    <t>EL CALVARIO</t>
  </si>
  <si>
    <t>NATAGAIMA</t>
  </si>
  <si>
    <t>SAN LUIS</t>
  </si>
  <si>
    <t>DESBORDAMIENTO QUEBRADAS CHIPALO Y PAJADA. 10 VEREDAS AFETCADAS PENDIENTE DE INFORMACION.</t>
  </si>
  <si>
    <t>VEREDA PUEBLO NUEVO. DESBORDAMIENTO QUEBRADAS EL ESPINAL Y SAN PABLO, LA GUAYABAL Y LA PIOJA. BARRIOS BELEN, CARACOLI PATIO BONITO Y SAUCEDAL.BELEN, VILLA PAZ, VILLA CATALINAISAIAS OLIVAR, NACIONAL SANTA MARGARITA, AVENIDA BETANI, CABALLERO, FUTURO, FATIMA, CENTRO, SAN PEDRO, ASOBETANIA, ENTRE RIOS, LA ESPERANZA.</t>
  </si>
  <si>
    <t>VEREDA ESPRIELLA. INUNDACION POR DESPORDAMIENTO RIO CAUNAPI. REPORTE DEL CREPAD.</t>
  </si>
  <si>
    <t>SAN FRANCISCO</t>
  </si>
  <si>
    <t>GIGANTE</t>
  </si>
  <si>
    <t>ARBOLETES</t>
  </si>
  <si>
    <t>BOGOTA D.C.</t>
  </si>
  <si>
    <t>CUNDAY</t>
  </si>
  <si>
    <t>LORICA</t>
  </si>
  <si>
    <t>DESBORDAMIENTO ARROYOS EL SAPO Y EL AJI. BARRIOS VILLA ESTELA, EL ESPINAL, EL MARQUEZ Y CORREGIMIENTO DE SANTA RITA. REPORTE DE LA DEFENSA CIVIL.</t>
  </si>
  <si>
    <t>20 tejas no. 8, 193 tejas no. 6, 30 tejas no.4 120 tejas p1000, 160 tejas p 10, 1000 amarres y 20 galones de colorcel</t>
  </si>
  <si>
    <t>REPORTAN AFECTACION EN VIAS EL PITAL - CERRO ALTO, EL RINCON - PLAN DE ZUÑIGA - EL AZUL, CALDONO - PUEBLO NUEVO, EL RINCON - LA AGUADA. PASA A PROYECTOS.</t>
  </si>
  <si>
    <t>RESTREPO</t>
  </si>
  <si>
    <t>DESBORDAMIENTO RIO CANEY.</t>
  </si>
  <si>
    <t>SOACHA</t>
  </si>
  <si>
    <t>BARRIO PUERTO MONTERO. DEBIDO A LAS FUERTES LLUVIAS SE PRESENTO COLAPSO DE VIVIENDA</t>
  </si>
  <si>
    <t xml:space="preserve">REPORTE DE LA DEFENSA CIVIL. INSPECCION ZULUAGA, VEREDAS LA FLORIDA Y BAJO PIÑAL </t>
  </si>
  <si>
    <t>DESBORDAMIENTO QUEBRADA TIBANICA. BOSA BARRIO  SAN JOSE.</t>
  </si>
  <si>
    <t>VEREDAS CHINCE, JUATICA Y PAN DE AZUCAR. INUNDACION POR MATERIAL DE ARRASTRE</t>
  </si>
  <si>
    <t>SAN CAYETANO</t>
  </si>
  <si>
    <t>INUNDACION POR MATERIAL DE ARRASTRE. VEREDA PIE DE PEÑA. AFECTADA ESCUELA.</t>
  </si>
  <si>
    <t>HACIENDAS LAS MERCEDES Y CONSTANZA REPRESAMIENTO DEL RIO BOGOTA POR CAIDA DE ARBOLES DE EUCALIPTO,.</t>
  </si>
  <si>
    <t>MEDELLIN</t>
  </si>
  <si>
    <t>BARRIOS ROBLEDO, OLAYA HERRERA, ANTONIO NARIÑO Y SAN JAVIER. REPORTE DEL CREPAD</t>
  </si>
  <si>
    <t>VILLAVIEJA</t>
  </si>
  <si>
    <t>DESBORDAMIENTO RIO VERDE. REPORTE DEL CREPAD TELEFONICO</t>
  </si>
  <si>
    <t>BARRIO LA ENEA</t>
  </si>
  <si>
    <t>BARRIO ENTRE REYES LOCALIDAD 19 CIUDAD BOLIVAR</t>
  </si>
  <si>
    <t>MELGAR</t>
  </si>
  <si>
    <t>VIA IBAGUE ESPINAL SECTOR CHICORAL. PERSONAS AISLADAS.</t>
  </si>
  <si>
    <t>CARMEN DE APICALA</t>
  </si>
  <si>
    <t>DEBORDAMIENTO RIO UGAZA. AFECTACION DE MENOR PROPORCION, AFECTADA LA ESCUELA REPORTE TELEFONICO DEL CREPAD.</t>
  </si>
  <si>
    <t>GUACAMAYO</t>
  </si>
  <si>
    <t>ARAUCA</t>
  </si>
  <si>
    <t>DESBORDAMIENTO RIO HACHA Y QUEBRADAS LA SARDINAQ Y LA PERDIZ. PENDIENTE EVALUACION. LA INFORMACION SOBRE AFECTACION SE CONSOLIDA EN EL EVENTO OCURRIDO EL 22 DE MAYO, TENIENDO EN CUENTA QUE SE TRATA DE UNA MISMA SITUACION.</t>
  </si>
  <si>
    <t>APIA</t>
  </si>
  <si>
    <t>MISTRATO</t>
  </si>
  <si>
    <t>LA MONTAÑITA</t>
  </si>
  <si>
    <t>MARSELLA</t>
  </si>
  <si>
    <t>CRECIENTE SUBITA RIO BADILLO. CORREDIMIENTO DE LA VEGA.</t>
  </si>
  <si>
    <t>BARRIO BOSTON. CAIDA DE ARBOL SOBRE VIVIENDA. REPORTE DEL CLOPAD.</t>
  </si>
  <si>
    <t>PERDIDA DE CULTIVOS. Y AVES DE CORRAL.</t>
  </si>
  <si>
    <t>COLOMBIA</t>
  </si>
  <si>
    <t>QUEBRADA LA LEJIA.</t>
  </si>
  <si>
    <t>DESBORDAMIENTO QUEBRADA LA OCA. BARRIOS LA ESMERALDA Y LA PAZ. REPORTE DE LA RUZ ROJA AY EL CREPAD. SITUACION EN EVALUACION PARA CONFIRMAR NECESIDAD DE APOYO DEL NIVEL NACIONAL VICTOR PERLAZA ALCALDE 3117279935.</t>
  </si>
  <si>
    <t>CIMITARRA</t>
  </si>
  <si>
    <t>DESBORDAMIENTO RIO CARARE AFECTADO CORREGIMIENTO DE PUERTO ARAUJO. SITUACION EN EVALUACION PARA VER NECESIDAD DE APOYO DEL NIVEL NACIONAL SECRETARIO DE GOBIERNO ENRIQUE OLARTE 3182530454</t>
  </si>
  <si>
    <t>KIT COCINA</t>
  </si>
  <si>
    <t>KIT ALCOBA</t>
  </si>
  <si>
    <t>JABON BARRA</t>
  </si>
  <si>
    <t>DESCRIPCION Y UBICACIÓN</t>
  </si>
  <si>
    <t>OLLAS</t>
  </si>
  <si>
    <t xml:space="preserve">M E N A J E S </t>
  </si>
  <si>
    <t>VALOR TOTAL</t>
  </si>
  <si>
    <t>CEMENTO</t>
  </si>
  <si>
    <t>APOYO FONDO NACIONAL DE CALAMIDADES</t>
  </si>
  <si>
    <t>182
206</t>
  </si>
  <si>
    <t>SECTOR GUANANA. REPORTE DEL CREPAD.</t>
  </si>
  <si>
    <t xml:space="preserve">DESBORDAMIENTO RIO GUELMAMBI  REPORTE DEL CLOPAD. </t>
  </si>
  <si>
    <t>TOLIMA</t>
  </si>
  <si>
    <t>IBAGUE</t>
  </si>
  <si>
    <t>CAMPO DE LA CRUZ</t>
  </si>
  <si>
    <t>CANDELARIA</t>
  </si>
  <si>
    <t>MANATI</t>
  </si>
  <si>
    <t>PONEDERA</t>
  </si>
  <si>
    <t>ATLANTICO</t>
  </si>
  <si>
    <t>VILLANUEVA</t>
  </si>
  <si>
    <t>SANTA CATALINA</t>
  </si>
  <si>
    <t>ARROYO HONDO</t>
  </si>
  <si>
    <t>MAHATES</t>
  </si>
  <si>
    <t>TURBACO</t>
  </si>
  <si>
    <t>TURBANA</t>
  </si>
  <si>
    <t>CALAMAR</t>
  </si>
  <si>
    <t>CARMEN DE BOLIVAR</t>
  </si>
  <si>
    <t>EL GUAMO</t>
  </si>
  <si>
    <t>SAN ESTANISLAO</t>
  </si>
  <si>
    <t>MARIA LA BAJA</t>
  </si>
  <si>
    <t>MAGANGUE</t>
  </si>
  <si>
    <t>CICUCO</t>
  </si>
  <si>
    <t>BARRANCO DE LOBA</t>
  </si>
  <si>
    <t>CAPITANEJO</t>
  </si>
  <si>
    <t>OIBA</t>
  </si>
  <si>
    <t>AVENIDA BOYACA, CALLE 13 CR. 68, AV, CIUDAD DE CALI, AV, CARACAS,  INUNDACION EN USAQUEN.</t>
  </si>
  <si>
    <t>CAOS VEHICULAR.</t>
  </si>
  <si>
    <t>GINEBRA</t>
  </si>
  <si>
    <t>TAURAMENA</t>
  </si>
  <si>
    <t>AFECTADA VIA TAURAMENA - ARAUCA. REPORTE DE LA CRUZ ROJA</t>
  </si>
  <si>
    <t>QUIMBAYA</t>
  </si>
  <si>
    <t>ESPINAL</t>
  </si>
  <si>
    <t>COBIJA TERMICA</t>
  </si>
  <si>
    <t>SOBRECAMAS</t>
  </si>
  <si>
    <t>PAPEL H.</t>
  </si>
  <si>
    <t>INFORMACION</t>
  </si>
  <si>
    <t>NO</t>
  </si>
  <si>
    <t>SAN SEBASTIAN</t>
  </si>
  <si>
    <t>BARRANQUILLA</t>
  </si>
  <si>
    <t>APOYO DEL FNC MEDIANTE GIRO DIRECTO AL CLOPAD PARA LA CONSTRUCCION DE ESPOLONES EN LA MARGEN DERECHA  DEL RIO GUAPE EN EL CASCO URBANO PARA LA PROTECCION DEL COLEGIO ADVENTISTA Y VARIAS MANZANAS COMO PROTECCION DE LA MARGEN IZQUIERDA DEL CAÑO URICHARARE EN LA MANZANA 94.</t>
  </si>
  <si>
    <t>LA TEBAIDA</t>
  </si>
  <si>
    <t>TORMENTA ELECTRICA</t>
  </si>
  <si>
    <t>VEREDA PISANAL. REPORTE DE MINPROTECCION SOCIAL</t>
  </si>
  <si>
    <t>PARQUEDERA DE DOS EDIFICIOS Y UN ESTABLECIMEITNO COMERCIAL. CAIDA ED ARBOLES</t>
  </si>
  <si>
    <t>REPORTE DEL CLOPAD, SITUACION CONTROLADA.</t>
  </si>
  <si>
    <t>RIOBLANCO</t>
  </si>
  <si>
    <t>TOTORO</t>
  </si>
  <si>
    <t>PAEZ</t>
  </si>
  <si>
    <t>ANALISIS Y EVALUACION DE LA SOLICITUD</t>
  </si>
  <si>
    <t>CUNDINAMARCA</t>
  </si>
  <si>
    <t>DEPARTAMENTO</t>
  </si>
  <si>
    <t>SOLICITUD</t>
  </si>
  <si>
    <t>SI</t>
  </si>
  <si>
    <t>RISARALDA</t>
  </si>
  <si>
    <t>BOGOTA</t>
  </si>
  <si>
    <t>QUINDIO</t>
  </si>
  <si>
    <t>ARMENIA</t>
  </si>
  <si>
    <t>BOLIVAR</t>
  </si>
  <si>
    <t>CASANARE</t>
  </si>
  <si>
    <t>OROCUE</t>
  </si>
  <si>
    <t>DESBORDAMIENTO QUEBRADA EL REVES QUE AFECTO EL ACUEDUCTO DEJANDO 740 FAMILIAS AFECTADAS POR DESABASTECIMIENTO DE AGUA. ALCALDE MARTIN ADENA 313 2632692 SIN SERVICIO DE AGUA.</t>
  </si>
  <si>
    <t>GUADALUPE</t>
  </si>
  <si>
    <t>VEREDAS SARTENEJAL, CACHIMBAL, PABLICO. LA PLANTA Y GUAMAL. QUEBRADA LA VICIOSA</t>
  </si>
  <si>
    <t>CRECIENTE SUBITA DEL RIO ATA. SOLDADOS DESAPARECIDOS</t>
  </si>
  <si>
    <t>BARRIO GALAN Y LAS VEGAS, AFECTADO SECTOR URBANO. REPORTE DEL CREPAD.</t>
  </si>
  <si>
    <t>REPORTE DEL CREPAD. SECTOR RURAL LA ESPERANZA Y LA ISLA.</t>
  </si>
  <si>
    <t>FLANDES</t>
  </si>
  <si>
    <t>BARRIOS LA PAZ, QUINTA AVENIDA, Y FERROCARRIL. INUNDACION POR FUERTES LLUVIAS Y TAPONAMIENTO DE ALCANTARILLADO.</t>
  </si>
  <si>
    <t xml:space="preserve">REPORTE DEL CREPAD VEREDA CAPILLA SECTOR CARREFOUR DESBORDAMIENTO RIO SOACHA. BARRIO LOS OLIVARES. </t>
  </si>
  <si>
    <t>FLORIDA</t>
  </si>
  <si>
    <t>PRADERA</t>
  </si>
  <si>
    <t>CAIDA DE ARBOLES.</t>
  </si>
  <si>
    <t>BARRIOS 7 DE ABRIL Y ME QUEJO. REPORTE DEL CLOPAD.</t>
  </si>
  <si>
    <t>SE APOYA COMO MEDIDA URGENTE DE MITIGACION FRENTE A LA TEMPORADA INVERNAL.</t>
  </si>
  <si>
    <t>SOLICITUD DEL CREPAD.</t>
  </si>
  <si>
    <t>INUNDACION POR FUERTES LLUVIAS. AFECTADA LA VIA SANTA ROSA - LA CHINITA. BARRIOS VILLA ROMA, SECTOR SANTA MARIA, REPORTE DEL CREPAD.</t>
  </si>
  <si>
    <t>171
180</t>
  </si>
  <si>
    <t>173
183</t>
  </si>
  <si>
    <t>138
183</t>
  </si>
  <si>
    <t>138
522</t>
  </si>
  <si>
    <t>DESBORDAMIENTO RIO GALLINAZO BARRIO EXPOFERIA, LA SULTANA, ALTO SUIZA, REPORTE DE LA DEFENSA CIVIL.</t>
  </si>
  <si>
    <t>VILLA MARIA</t>
  </si>
  <si>
    <t>CRECIENTE DE LA QUEBRADA EL FRAILE. REPORTE DEL CREPAD.</t>
  </si>
  <si>
    <t>SECTOR URBANO. REPORTE DEL CREPAD.</t>
  </si>
  <si>
    <t>BARRIO LA CAPILLA. SECTOR LOMA LINDA EL CREPAD Y CLOPAD UBICARON ALOAMIENTO TEMPORAL EN EL SALON COMUNAL DE CASUCA. Y PLAN PADRINO PARA ALOJAMIENTO EN CASA DE FAMILIAES O AMIGOS</t>
  </si>
  <si>
    <t>49908
59351</t>
  </si>
  <si>
    <t>P.I.</t>
  </si>
  <si>
    <r>
      <t xml:space="preserve">AFECTADAS VIAS EL RECREO- PUENTE FIERRO, LA ZANJA - GUACHICONO, PUENTE CALICANTO - LETICIA. </t>
    </r>
    <r>
      <rPr>
        <b/>
        <sz val="9"/>
        <rFont val="Arial"/>
        <family val="2"/>
      </rPr>
      <t>APOYO DEL FNC MEDIANTE GIRO DIRECTO AL CLOPAD BAJO EL PROYECTO DE INVERSION "REHABILITACION Y ATENCION DE EMERGENCIAS EN EL TERRITORIO NACIONAL ACTIVIDAD OBRAS DE RECUPERACION INMEDIATA EN ZONAS AFECTADAS POR EEMERGENCIAS PARA LA RECUPERACION E LA VIA EL RECREO PUETNE FIERRO. POR VALOR DE $10.000.000</t>
    </r>
  </si>
  <si>
    <t>APOYO DEL FNC MEDIANTE GIRO DIRECTO AL CLOPAD A TRAVES DE LOS RECURSOS DEL FNC PAJO EL PROYECTO DE INVERSION REHABILITACION Y ATENCION DE EMERGENCIAS EN EL TERRITORIO NACIONAL ACTIVIDAD OBRAS DE RECUPERACION INMEDIANTA EN ZONAS AFECTADAS POR EMERGENCIAS POR VALOR DE $35.000.000</t>
  </si>
  <si>
    <r>
      <t>ENVIAN DECRETO 034 MEDIANTE EL CUAL DECLARAN LA EMERGENICA VIAL. VIAS VERSALLES-COSTARICA-EL CEDRO, MORRO ÑATO - PIÑARES-EL VERGEL; VERSALLES-EL DIAMANTE- CAMPOALEGRE-LA FLORIA - EL SILENCIO- EL CEDRO- EL BALSAL; VERSALLES, EL TAMBO-BOSQUETARSO- PUERTO NUEVO. REPORTE DEL CLOPAD AVAL DEL CREPAD.</t>
    </r>
    <r>
      <rPr>
        <b/>
        <sz val="9"/>
        <rFont val="Arial"/>
        <family val="2"/>
      </rPr>
      <t xml:space="preserve"> APOYO DEL FNA MEDIANTE GIRO DIRECTO AL CLOPAD PARA APOYAR LA REHABILITACION DE LAS VIAS.</t>
    </r>
  </si>
  <si>
    <t>SAN JUAN DEL CESAR</t>
  </si>
  <si>
    <t>DESBORDAMEINTO RIO SAN FRANCISCO. REPORTE DEL CREPAD. CASCO URBANO</t>
  </si>
  <si>
    <t>DESBORDAMIENTO RIO CAÑAVERALES Y EL ARROYO REPARITO. VEREDAS SITIO NUEVO Y CONEJO EN EL CORREGIMIENTO LOS HATICOS. REPORTE DE LA DEFENS CIVIL</t>
  </si>
  <si>
    <t>PERDIDAS DE CULTIVOS PLATANO, CACAO MANDARINA Y NARANJA</t>
  </si>
  <si>
    <t xml:space="preserve">CAIDA DE ARBOLES SOBRE COLEGIOS DE LAS COMUNIDADES INDIGENAS MARI RANKIRO, GUANAPAREPO, MARIA AUXILIADORA DE CUESTECITAS. </t>
  </si>
  <si>
    <t>FUERTES LLUVIAS, DESBORDAMIENTO ARROYO LIMON. AFECTADA COMUNIDAD DE PAJARAO. REPORTE DE CRUZ ROJA. PERROULIA, TUCAOPAO, PIRRITAMA, OVEJOMANA, URRAICHI, PANCHO, HOLLITO DE MONO, GUASIMO, INSHISHON, AMAMANA,, POPOMANA, POTRERO, JURUREN.BARRIOS CRISPIN LOPEZ, CHORZIMANA Y MANAURE BAJO. VEREDAS BELEN SANTA ROSA MULAMANA, PANCHO PIPAMANA, FLOR DE OLIVOS, COMUNINIDADES DE CHISPANA, QUIPAMANA, BUENAVISTA, HOYITO DE MONO Y PUNTA DE VELA.</t>
  </si>
  <si>
    <t>DESBORDAMIENTO RIO SAN IGNACIO Y VENDAVAL. BARRIO BUENOS AIRES.  REPORTE DE SOCORRO NACIONAL.</t>
  </si>
  <si>
    <t>CIENAGA DE ZAPATOSA CORREGIMIENTO GUAIMARAL. REPORTE DEL CREPAD Y SOCORRO NACIONAL,.</t>
  </si>
  <si>
    <t>PERDIDA DE CULTIVOS DE YUCA, PLATANO, MAIZ, AGUACATE, CAFÉ, ARBOLES FRUTALES.</t>
  </si>
  <si>
    <t>REPORTE DEL CREPAD. DESBORDAMIENTO RIO TUCUY</t>
  </si>
  <si>
    <t>PERDIDA DE CULTIVOS DE TOMATE</t>
  </si>
  <si>
    <t>CHIRIGUANA</t>
  </si>
  <si>
    <t>PERDIDA DE CULTYIVOS DE YUCA, AHUYAMA, MAIZ, FRIJOL, PLATANO, ARROZ Y PALMA DE ACEITE.</t>
  </si>
  <si>
    <t>CRECIENTO RIO MAGDALENA Y QUEBRADA LA FLORESTA. VEREDAS MATEGUADUA, NUEVO TRIUNFO, ISLA HERMISA Y CORREGIMIENTOS PUERTO NUEVO, PUERTO BOCA, LAS PALMAS REPORTE DE LA CRUZ ROJA. AFECTADO PUENTE VEHICULAR EN LA VIA BRISAS - LAS PALMAS.</t>
  </si>
  <si>
    <t>AGUSTIN CODAZZI</t>
  </si>
  <si>
    <t>VEREDA EL PLATANAL.DESBORDAMIENTO RIO PLATANAL.</t>
  </si>
  <si>
    <t xml:space="preserve">PERDIDA DE AVES DE CORRAL. </t>
  </si>
  <si>
    <t>REPORTE DEL CREPAD. VEREDAS TEUQENDAMA Y PARAMILLO. AFECTACION EN VIA CULEBRITA - PARAMILLO</t>
  </si>
  <si>
    <t>AFECTADA VIA CARRIZAL - LA LEGIA. REPORTE DEL CREPAD.</t>
  </si>
  <si>
    <t>PERDIDA DE CULTIVOS DE ARROZ.</t>
  </si>
  <si>
    <t>DESBORDAMIENTO RIO ARIGUANI, VEREDA EL TROPEZON. AFECTADAS VIAS VEREDA LOMA LINDA, PUERTO LAJAS Y CHIMILAIMA, SAGARRIGA. REPORTE DEL CREPAD.</t>
  </si>
  <si>
    <t>REPORTE DEL CREPAD. AFECTADAS VIAS MARGARITA - PEÑONCITO, SANIN VILLA - SANTAMARIA, SUMARE - HOBO</t>
  </si>
  <si>
    <t>DESBORDAMIENTO RIOS CESAR, CAÑO LA MIEL Y RIO GARUPAL. REPROTE DEL CREPAD.</t>
  </si>
  <si>
    <t>SE APOYA DE MANERA COMPLEMENTARIA A LOS ESFUERZOS LOCLAES Y REGIONALES.</t>
  </si>
  <si>
    <t>LINEA NO.</t>
  </si>
  <si>
    <t xml:space="preserve">BELEN </t>
  </si>
  <si>
    <t>SECTORES EL BOSQUE Y SAN JOSE. REPRTE DEL CREPAD.</t>
  </si>
  <si>
    <t>VEREDAS LA ESTANCIA, EL CHIRCAL, SECTOR MARRAVITA. VIAS JERCIO - PUEBLO VIEJO Y JERICO -SOCOTA.REPROTE DEL CREPAD.</t>
  </si>
  <si>
    <t>PAZ DE RIO</t>
  </si>
  <si>
    <t>SECTORES PAZ VIEJA, SOCOTACITO, CHAPA. REPORTE DEL CREPAD.</t>
  </si>
  <si>
    <t>TIMBA</t>
  </si>
  <si>
    <t>INUNDACION POR FUERTES LLUVIAS. BARRIOS MARCO FIDEL SUAREZ Y LA PAZ. REPORTE DEL CREPAD.</t>
  </si>
  <si>
    <t xml:space="preserve">LITORAL DEL SAN JUAN </t>
  </si>
  <si>
    <t>DESBORDAMIENTO RIO SAN JUAN. COMUNIDAD INDIGENA DE SANTA MARIA DE PANGALA. REPORTE DEL CREPAD.</t>
  </si>
  <si>
    <t>RIO NEGRO</t>
  </si>
  <si>
    <t>BARRIOS LA PLAYA, Y VALLE DE LLANO GRANDE. REPORTE DEL CREPAD.</t>
  </si>
  <si>
    <t>FUERTES LLUVIAS SECTORES LA GABRIELA, LA CAMILA. REPORTE DEL CREPAD.</t>
  </si>
  <si>
    <t>BARRIOS PUENTE TABLA, GUAMAL, PIZARRA. REPORTE DEL CREPAD.</t>
  </si>
  <si>
    <t>CRECIENTE SUBITA RIO EL ROBLE VEREDA LA FRONTERA. FINCA VILLA NATALIA. REPORTE DEL CREPAD.</t>
  </si>
  <si>
    <t xml:space="preserve">DESBORAMIENTO CIENAGA ZAPATOZA. CORREGIMIENTIO SANTA CECILIA. REPORTE DEL CREPAD. </t>
  </si>
  <si>
    <t xml:space="preserve">DESBORDAMIENTO RIO TAMANA,. VEREDAS AGUASUCIA, PLAYA DEL ROSARIO, CORREGIMIENTOS TINDAZA, EL TIGRE, SANTA ROSA, SAN LORENZO. BARRIOS PANAMA, BUENOS AIRES, GAMBOA CAMELLON , LAS AGUAS PARTE BAJA, JESUS POBRE. REPORTE DE LA DEFENSA CIVIL. </t>
  </si>
  <si>
    <t>DESBORDAMIENTO RIO JURADO Y PARTADO Y PAMPADO COMUNIDADES DE EYASAQUE, RICHAR, GUAUNANA, AMBAR, PATATO, BUENAVISTA, CEDRAL, JUMARACARRA, DOS BOCAS, SANTA TERESITA, Y DICHARDI - CAIMITO. REPORTE DEL CLOPAD.BARRIOS PUEBLO NUEVO Y PUEBLO VIEJO. REPORTE DE CREPAD Y LA DEFENSA CIVIL.</t>
  </si>
  <si>
    <t>PERDIDA DE CULTIVOS DE POPOCHO , BANANO PLATANO, YUCA, CAÑA Y MAIZ. PERDIDA DE ANIMALES DE CORRAL.</t>
  </si>
  <si>
    <t>CORREGIMIENTOS DE SANTA RITA, TADOCITO, VEREDAS ALTO CONDOTO, LA CHORRERA, LA MESTIZA, LA UÑITA, CORORO, DUAVE, SANTA BARBARA. REPORTE DEL CREPAD</t>
  </si>
  <si>
    <t>ACACIAS</t>
  </si>
  <si>
    <t>CECIENTE SUBITA RIO ACACIAS. VEREDA MALECON. REPORTE DE LA DEFENSA CIVIL.</t>
  </si>
  <si>
    <t>LOCALIDAD 19 CIUDAD BOLIVAR URBANIZACION VILLA DE LOS ALPES. CARRERA 24 NO. 77 A SUR -31</t>
  </si>
  <si>
    <t>VEREDA MOMBITA. REPORTE DEL CREPAD.</t>
  </si>
  <si>
    <t>SAN EDUARDO</t>
  </si>
  <si>
    <t>VEREDA CARDOZO. REPORTE DEL CREPAD.</t>
  </si>
  <si>
    <t>VEREDAS LA ESTRELLA, CAJONES, TRES ESQUINAS, EL ESPAÑOL, EL ZANCUDO. REPORTE DEL CREPAD.</t>
  </si>
  <si>
    <t>14 FINCAS AFECTADAS POR PERDIDA DE CULTIVOS.</t>
  </si>
  <si>
    <t>CUATRO FINCAS AFECTADAS POR PERDIDA DE CULTIVOS DE PLATANO Y YUCA.</t>
  </si>
  <si>
    <t>BARRIO SANTA ISABEL Y EL PROGRESO. REPORTE DE LA DPAE.</t>
  </si>
  <si>
    <t xml:space="preserve">BARRIO LA CABAÑA. REPORTE DEL CREPAD. </t>
  </si>
  <si>
    <r>
      <t xml:space="preserve">REPORTE DEL CLOPAD. </t>
    </r>
    <r>
      <rPr>
        <b/>
        <sz val="9"/>
        <rFont val="Arial"/>
        <family val="2"/>
      </rPr>
      <t>EL VALOR DE OTROS CORRESPONDE A 100 TEJAS TERMOACUSTICAS, 35 MADERA TIPO VIGA CUADRADA Y 2600 TORNILLOS PARA MADERA.</t>
    </r>
  </si>
  <si>
    <t>SAN PABLO</t>
  </si>
  <si>
    <t>SAN JUAN DE ARAMA</t>
  </si>
  <si>
    <t xml:space="preserve">REPORTE DEL CREPAD. </t>
  </si>
  <si>
    <t>SANTA ROSA DE CABAL</t>
  </si>
  <si>
    <t>COLEGIO LABOURE</t>
  </si>
  <si>
    <t>PURIFICACION</t>
  </si>
  <si>
    <t>DESBORDAMIENTO RIO SOGAMOSO, VEREDA TERRAPLEN, CORREGIMIENTO EL PEDRAL. REPORTE DE LA DEFENSA CIVIL.</t>
  </si>
  <si>
    <t>DESBORDAMIENTO RIO MAGDALENA, BARRIOS EL DORADO, ARENAL, CARDALES. REPORTE DE DEFENSA CIVIL</t>
  </si>
  <si>
    <t>DESBORDAMIENTO RIO MAGDALENA. VEREDACURUMUPA, CORREGIMIENTOS PATURIA, BOCAS DEL ROSARIO Y SITIO NUEVO</t>
  </si>
  <si>
    <t>DESBORDAMIENTO RIO CHICAMOCHA AFECTADA ZONA RURAL. REPORTE DE DEFENSA CIVIL.</t>
  </si>
  <si>
    <t>VEREDAS TOCOGUA Y EL CEBADERO. DESBORDAMIENTO POR AGUAS LLUVIAS REPORTE DE LA DEFENSA CIVIL.</t>
  </si>
  <si>
    <t>CARMEN DE CARUPA</t>
  </si>
  <si>
    <t>VIA CARMEN DE CARUPA - UBATE KM 9 REPORTE DEL CREPAD</t>
  </si>
  <si>
    <t>CORREGIMIENTO SAN ANTONIO DEL PRADO. REPORTE DE LA DEFENSA CIVIL.</t>
  </si>
  <si>
    <t>TUCHIN</t>
  </si>
  <si>
    <t>DESBORDAIENTO ARROYO TUCHIN YN LA PALMA. REPORTE DE DEFENSA CIVIL.</t>
  </si>
  <si>
    <t>MONTERIA</t>
  </si>
  <si>
    <t>SAN CARLOS</t>
  </si>
  <si>
    <t>ACHI</t>
  </si>
  <si>
    <t>DESBORDAMIENTO RIO MANZANARES.  BARRIOS MALVINAS, SIMON BOLIVAR, LAS VEGAS, TAYRONA, IMALLUI, villa u , SALAMANCA, SANTA ANA, 8 DE FEBRERO, SIMON BOLIVAR, CHIMILA I, ESMERALDA, TAYRONA ALTA, TAYRONA BAJA, BULEVAR DEL RIO 1,2 Y 3, VILLA DEL CARMEN, MALVINAS, LAS VEGAS.. REPORTE DE LA DEFENSA CIVIL. REPORTE DEL CLOPAD.</t>
  </si>
  <si>
    <t>BARRIO JULIO FLORES. DESBORDAMIENTO ARROYO EL PUEBLO,INUNDACION POR FUERTES LLUVIAS. FALTA AFECTACION</t>
  </si>
  <si>
    <t>BARRIO EL PARAISO. REPORTE DEL CREPAD.</t>
  </si>
  <si>
    <t>CHARTA</t>
  </si>
  <si>
    <t>MATANZA</t>
  </si>
  <si>
    <t>EL CARMEN DE CHUCURI</t>
  </si>
  <si>
    <t>REPRESAMIENTO AGUAS LLUVIAS. SECTOR JUAN MINA. Barrios pinar del rio, la chinita, la cangrejera Y PALO ALTO</t>
  </si>
  <si>
    <t>CAIMALITO</t>
  </si>
  <si>
    <t>VIA BOQUERON</t>
  </si>
  <si>
    <t>DESBORDAMIENTO RIO BOGOTA</t>
  </si>
  <si>
    <t>SECTOR BUCHE</t>
  </si>
  <si>
    <t>VEREDA SAN ISIDRO, ALTO CARTAGENA, SAN FRANCISCO, CARTAGENA, CHAMBU, VILLA NUEVA.. REPORTE DE LA DEFENSA CIVIL</t>
  </si>
  <si>
    <t>DESBORDAMIENTO RIO SIMBOLA. VEREDA LA ESTRELLA</t>
  </si>
  <si>
    <t>DESBORDAMIENTO DEL CAÑO PARRADO VEREDA PACHAQUIARO. VEREDA CAÑONARE. REPORTE DE DEFENSA CIVIL</t>
  </si>
  <si>
    <t>CULTIVOS DE PLATANO, YUCA YY AVES</t>
  </si>
  <si>
    <t>OCAÑA</t>
  </si>
  <si>
    <t>CHITAGA</t>
  </si>
  <si>
    <t>SAN CALIXTO</t>
  </si>
  <si>
    <t>BARICHARA</t>
  </si>
  <si>
    <t>MALAGA</t>
  </si>
  <si>
    <t>ULLOA</t>
  </si>
  <si>
    <t>ZARZAL</t>
  </si>
  <si>
    <t>BARRIO VILLAS DEL PROGRESO.</t>
  </si>
  <si>
    <t>LA GLORIA</t>
  </si>
  <si>
    <t>FUERTES LLUVIAS REPORTE DEL CREPAD.</t>
  </si>
  <si>
    <t>QUEBRADA ARROYO HONDO. REPORTE DEL CREPAD.</t>
  </si>
  <si>
    <t>DESBORDAMIENTO RIO UPIA. REPORTE DE DEFENSA CIVIL.</t>
  </si>
  <si>
    <t>PENDIENTE AFECTACION.</t>
  </si>
  <si>
    <t>DESBORDAMIENTO RIO CASANARE.</t>
  </si>
  <si>
    <t>BARRIO LAS FERIAS, JARDIN, OBRERO , PITALITO0, SANTA CECILIA, LAS MAGARITAS, VICTORIA REAL.. PENDIENTE QFECTACION.</t>
  </si>
  <si>
    <t>AFECTADO LA ALCALDIA, ESTACION DE POLICIA, CASA DE LA CULTURA, HOGAR DEL NIÑO, INSTITUTO LLANO Y LA INSTITUCION EDUCATIVA JOSE JOAQUIN GARCIA. REPORTE DEL CREPAD TOLIMA.</t>
  </si>
  <si>
    <t>DESBORDAMIENTO RIO TOBA. PERDIDA DE ENSERES. REPORTE DEL CREPAD.</t>
  </si>
  <si>
    <t>JESUS MARIA</t>
  </si>
  <si>
    <t>CHIMA</t>
  </si>
  <si>
    <t>DAÑOS EN EL ACUEDUCTO</t>
  </si>
  <si>
    <t>GAMARRA</t>
  </si>
  <si>
    <t>VEREDAS ANGOSTURAS Y ARCINIEGAS. FELIX OCTAVIO PARRA PINEDA 3132843374</t>
  </si>
  <si>
    <t>SECTOR TERRAZAS DE SUBA</t>
  </si>
  <si>
    <t>PIAMONTE</t>
  </si>
  <si>
    <t>CAICEDONIA</t>
  </si>
  <si>
    <t>SAN ANDRES DE CUERQUIA</t>
  </si>
  <si>
    <t>VEREDAS SAN MIGUEL Y SANTA ANA DE GERTRUDIZ, REPORTE DEL CREPAD.</t>
  </si>
  <si>
    <t>YONDO</t>
  </si>
  <si>
    <t>PERDIDA DE CULTOVOS.</t>
  </si>
  <si>
    <t>DESBORDAMIENTO RIO MAGDALENA Y CIMITARRA. REPORTE DEL CREPAD.</t>
  </si>
  <si>
    <t>HERRAN</t>
  </si>
  <si>
    <t>CRAVO NORTE</t>
  </si>
  <si>
    <t>TUTA</t>
  </si>
  <si>
    <t xml:space="preserve">DESBORDAMIENTO RIOS TUTA Y CHICAMOCHA. </t>
  </si>
  <si>
    <t>VEREDAS LEONERA, CUNUCAS, SAN FRANCISCO, CENTRO ABAJO, TUENECA ABAJO Y RAIBA REPORTE DEL CREPAD.</t>
  </si>
  <si>
    <t>VEREDA COSCUEZ Y SANTA BARBARA. EPORTE DEL CREPAD.</t>
  </si>
  <si>
    <t>CASCO URBANO, VEREDAS COMBUCO Y ALTOSANO</t>
  </si>
  <si>
    <t>VALLE DEL CUHCE, LA CRECIENTE, TUNQUAQUITA, CACHAVITA, VEREDA EL SALITRE. REPORTE DEL CREPAD.</t>
  </si>
  <si>
    <t>VEREDA GOTUA, TINTAL,MOMBITA, LLANO. MONJAS Y CARTAGENA. REPORTE DEL CREPAD.</t>
  </si>
  <si>
    <t>SE APOYA TENIENDO EN CUENTA LA MAGNITUD DE LA EMERGENICA</t>
  </si>
  <si>
    <t>TIMANA</t>
  </si>
  <si>
    <t>ISNOS</t>
  </si>
  <si>
    <t>VEREDA TEJAR Y BARRIO CENTRO. AFECTADO CENTRO EDUCATVO DE SANTA LUCIA. REPORTE DEL CREPAD</t>
  </si>
  <si>
    <t>VEREDA LA MURALLA AFECTADA ESCUELA LA MURALLA. REPORTE DEL CREPAD.</t>
  </si>
  <si>
    <t>BARRIO LOS ALMENDROS, CENTRO, ALFONSO LOPEZ Y ATALAYA. REPORTE DEL CREPAD.</t>
  </si>
  <si>
    <t>BARRIO LA CHINITA. REPROTE DEL CLOPAD.</t>
  </si>
  <si>
    <t>SOCORRO</t>
  </si>
  <si>
    <t>SAN GIL</t>
  </si>
  <si>
    <t>CRECIENTE RIO FONCE</t>
  </si>
  <si>
    <t>DEBORDAMIENTO RIO ARIARI Y CAÑO IRIQUE Y LA PIEDRA. 16 BARRIOS AFECTADOS</t>
  </si>
  <si>
    <t xml:space="preserve">220 AVES DE CORRAS CUATRO CERDOS, 200 ARBOLES FRUTALES, </t>
  </si>
  <si>
    <t xml:space="preserve">DESBORDAMIENTO RIO GUEJAR. </t>
  </si>
  <si>
    <t>INZA</t>
  </si>
  <si>
    <t>BARRIO SANTA HELENA</t>
  </si>
  <si>
    <t>FREDONIA</t>
  </si>
  <si>
    <t>VEREDAS EL ZANCUDO, SECTOR EL VOLCAN, REPORTE PRELIMINAR DEL CREPAD.</t>
  </si>
  <si>
    <t>DESBORDAMIENTO RIO LA CRUZ. CASCO URBANO, SECTOR LA PLANTA, CORREGIMIENTO EL TIGRE REPORTE DEL CREPAD.</t>
  </si>
  <si>
    <t>YALI</t>
  </si>
  <si>
    <t>DESBORDAMIENTO RIO VOLCAN. VEREDA LA CABAÑA. REPORTE DEL CREPAD.</t>
  </si>
  <si>
    <t>CESAR</t>
  </si>
  <si>
    <t>PAILITAS</t>
  </si>
  <si>
    <t>NARIÑO</t>
  </si>
  <si>
    <t>TUMACO</t>
  </si>
  <si>
    <t>GIRARDOT</t>
  </si>
  <si>
    <t>BARRIOS CENTENARIO, PESEBRE, LAS ACACIAS, AGUA BLANCA, VILLA ANFIS. REPORTE DEL CREPAD Y DEL SOCORRO NACIONAL</t>
  </si>
  <si>
    <t>TINJACA</t>
  </si>
  <si>
    <t>RAQUIRA</t>
  </si>
  <si>
    <t>SECTORES SAN JOSE Y MAJAYURA. INUNDACION POR FUERTES LLUVIAS</t>
  </si>
  <si>
    <t>FUERTES LLUVIAS.</t>
  </si>
  <si>
    <t>BARRIOS COLOMBIATON Y FLOR DEL CAMPO</t>
  </si>
  <si>
    <t>CAIDA DE ARBOLES BARRIO ALEMAN</t>
  </si>
  <si>
    <t>GIRON</t>
  </si>
  <si>
    <t>BARRIOS CONVIVIR, GALAN, EL TUNEL, LA INMACULADA.</t>
  </si>
  <si>
    <t>89
139</t>
  </si>
  <si>
    <t>DOSQUEBRADAS</t>
  </si>
  <si>
    <t>CAIDA DE ARBOLES Y POSTES DE ENERGIA</t>
  </si>
  <si>
    <t>SEGOVIA</t>
  </si>
  <si>
    <t>TURBO</t>
  </si>
  <si>
    <t>CALVARIO</t>
  </si>
  <si>
    <t xml:space="preserve">SECTOR SOBRETANA VEREDA LA MESETA DESLIZAMIENTO VIA . </t>
  </si>
  <si>
    <t>VIA BOGOTA VILLAVICENCIO KM 40 AL 46. VEREDA QUINAMI. VIA CERRADA.</t>
  </si>
  <si>
    <t>CUMARAL</t>
  </si>
  <si>
    <t>DESBORDAMIENTO RIO GUACAVIA. INSPECCION GUACAVIA.  REPORTE DE LA DEFENSA CIVIL.</t>
  </si>
  <si>
    <t>DESBORDAMIENTO CAÑO URICHARE. REPORTE DE LA DEFENSA CIVIL.</t>
  </si>
  <si>
    <t>DESBORDAMEINTO RIO GUAITIQUIA.  PARCELAS DEL PROGRESO. REPORTE DE LA DEFENSA CIVIL. REPORTE PRELIMINAR.</t>
  </si>
  <si>
    <t>DESBORDAMIENTO RIO GUAYURIBA. SECTOR BOCAS DE GUAYURIBA. REPORTE DE LA DEFENSA CIVIL.</t>
  </si>
  <si>
    <t>AFECTADOS CULTIVOS DE PALMA.</t>
  </si>
  <si>
    <t>BARRIO EL POBLADO. REPORTE DEL CLOPAD.</t>
  </si>
  <si>
    <t>REPORTE DEL CREPAD. VEREDA SABANALARGA.</t>
  </si>
  <si>
    <t>SAN JUANITO</t>
  </si>
  <si>
    <t>REPRESAMIENTO DE LAS QUEBRADAS LA MORENA EL RUCHICO Y RIO NEGRO. VIA EL CALVARIO SECTOR CAÑOS NEGROS Y SECTOR LA UNION REPORTE DE L CREPAD.</t>
  </si>
  <si>
    <t>ACUED.</t>
  </si>
  <si>
    <t>C. SALUD</t>
  </si>
  <si>
    <t>C.EDUCAT.</t>
  </si>
  <si>
    <t>ALCANT.</t>
  </si>
  <si>
    <t>CATRE</t>
  </si>
  <si>
    <t>,,,,,</t>
  </si>
  <si>
    <t>POCILLO</t>
  </si>
  <si>
    <t>SABANAS</t>
  </si>
  <si>
    <t>DESLIZAMIENTO</t>
  </si>
  <si>
    <t>FECHA TRAMITE ADTIVO</t>
  </si>
  <si>
    <t>CUCHARA ACERO</t>
  </si>
  <si>
    <t>CUCHARA MADERA</t>
  </si>
  <si>
    <t>COMENTARIOS</t>
  </si>
  <si>
    <t>MUNICIPIO</t>
  </si>
  <si>
    <t>EVENTO</t>
  </si>
  <si>
    <t>PERSONAS</t>
  </si>
  <si>
    <t>FAMILIAS</t>
  </si>
  <si>
    <t xml:space="preserve">REPORTE DE LC ACRUZ ROJA. DESBORDAMIENTO RIO CHIGORODO VEREDAS LIRIA Y GUAPALEON. </t>
  </si>
  <si>
    <t>MEDIO SAN JUAN</t>
  </si>
  <si>
    <t>GUAVIARE</t>
  </si>
  <si>
    <t>SAN JOSE DEL GUAVIARE</t>
  </si>
  <si>
    <t>CORREGIMIENTO SAN ANTONIO DE LOS CABALLEROS..CAIDA DE ARBOLES.</t>
  </si>
  <si>
    <t>HERBEO</t>
  </si>
  <si>
    <t>SAN MARCOS</t>
  </si>
  <si>
    <t>VILLAVICENCIO</t>
  </si>
  <si>
    <t>MEDIO ATRATO</t>
  </si>
  <si>
    <t>AVALANCHA</t>
  </si>
  <si>
    <r>
      <t xml:space="preserve">DESBORDAMIENTO QUEBRADA HIGUA. . REPORTE DEL CREPAD. </t>
    </r>
    <r>
      <rPr>
        <b/>
        <sz val="9"/>
        <rFont val="Arial"/>
        <family val="2"/>
      </rPr>
      <t xml:space="preserve">EL VALOR DE OTROS 36 ROLLOS DE MANGUERA DE 2", 2500 METROS DE MANGUERA DE 1", 12 ROLLOS DE MANGUERA DE 1/2", 300 BULTOS DE CEMENTO, 600 TEJAS DE ZINC, 2000 METROS DE ALAMBRE DE PUA. </t>
    </r>
  </si>
  <si>
    <t>AQUITANIA</t>
  </si>
  <si>
    <t>DUITAMA</t>
  </si>
  <si>
    <t>FIRAVITOBA</t>
  </si>
  <si>
    <t>GARAGOA</t>
  </si>
  <si>
    <t>JERICO</t>
  </si>
  <si>
    <t>MONGUI</t>
  </si>
  <si>
    <t>MIRAFLORES</t>
  </si>
  <si>
    <t>LA VICTORIA</t>
  </si>
  <si>
    <t>NOBSA</t>
  </si>
  <si>
    <t>PAIPA</t>
  </si>
  <si>
    <t>PUERTO BOYACA</t>
  </si>
  <si>
    <t>QUIPAMA</t>
  </si>
  <si>
    <t>SUTATENZA</t>
  </si>
  <si>
    <t>TOCA</t>
  </si>
  <si>
    <t>BUENAVISTA</t>
  </si>
  <si>
    <t>SUCRE</t>
  </si>
  <si>
    <t>QUIBDO</t>
  </si>
  <si>
    <t>ITSMINA</t>
  </si>
  <si>
    <t>ANAPOIMA</t>
  </si>
  <si>
    <t>COGUA</t>
  </si>
  <si>
    <t>COTA</t>
  </si>
  <si>
    <t>GRANADA</t>
  </si>
  <si>
    <t>LA MESA</t>
  </si>
  <si>
    <t>LA PALMA</t>
  </si>
  <si>
    <t>ORTEGA</t>
  </si>
  <si>
    <t>DESABORDAMIENTO QUEBRADA BETUAN. OENDIENTE AFECTACION</t>
  </si>
  <si>
    <t>DESLIZAMIENTO SOBRE MINA DE ORO ARTESANAL LLAMANDA EL CHOCO. PENDIENTE INFORMACION.</t>
  </si>
  <si>
    <t>MAJAGUAL</t>
  </si>
  <si>
    <t>GALERAS</t>
  </si>
  <si>
    <t>LOS PALMITOS</t>
  </si>
  <si>
    <t>CORREGIMIENTO LA BARBARA Y EL NUEVO INDIO</t>
  </si>
  <si>
    <t>ANTIOQUIA</t>
  </si>
  <si>
    <t>MURINDO</t>
  </si>
  <si>
    <t>PENDIENTE AFECTACION. REPORTE PRELIMINAR DEL CREPAD.</t>
  </si>
  <si>
    <t>BETULIA</t>
  </si>
  <si>
    <t>VILLA DE LEYVA</t>
  </si>
  <si>
    <t>VEREDA YARUMAL, DESBORDAMIENTO RIO TURBO</t>
  </si>
  <si>
    <t xml:space="preserve">RIO PAGUEY. HERIDOS POR ROMPIMIENTO DE  ESTANQUE VEREDA CASABLANCA. </t>
  </si>
  <si>
    <t>DEBORDAMIENTO RIO SUMAPAZ SECTORES DE SAN MARTIN Y EL PASO.</t>
  </si>
  <si>
    <t>VEREDA SAN ANDRES, ALTA ESTRELLA Y LA NUBIA, VALLADOLID, GUARNE, LA SOMBRA, LAS CABAÑAS, AGUA LINDA.REPORTE DEL CREPAD.</t>
  </si>
  <si>
    <t>VALDIVIA</t>
  </si>
  <si>
    <t>BARRIO LA FLORIDA. REPORTE DEL CREPAD.</t>
  </si>
  <si>
    <t>TADO</t>
  </si>
  <si>
    <t>DESLIZAMIENTO EN MINA DE ORO. REPORTE DE LA DEFENSA CIVIL.</t>
  </si>
  <si>
    <t>DESBORDAMIENTO RIOSBACHUE Y AIPE. PERDIDA DE CULTIVOS</t>
  </si>
  <si>
    <t>AFECTADOS CULTIVOS DE YUCA, PLATANO, FRUTALES Y PANCOGER EN 21 PARCELAS</t>
  </si>
  <si>
    <t>SUAREZ</t>
  </si>
  <si>
    <t>DEBORDAMIENTO QUEBRADA TIBANICA. PENDIENTE EVALUACION, BARRIO QUINTANARES, LA FLORIDA PRIMER SECTOR, MIRADOR, CONJUNTO SAN IGNACIO. MERCURIO , ISLA DEL SOL Y SAN MATEO. REPORTE DEL CREPAD</t>
  </si>
  <si>
    <t>GUTIERREZ</t>
  </si>
  <si>
    <t>AFECTADA VIA ZIPAQUIRA - PACHO. REPORTE DE LA DEFENSA CIVIL</t>
  </si>
  <si>
    <t>BARRIO LOS ROBLES. REPORTE DE LA DEFENSA CIVIL</t>
  </si>
  <si>
    <t>DAÑOS EN EL FLUIDO ELECTRICO</t>
  </si>
  <si>
    <t>CORREGIMIENTO LA DON JUANA Y BARRIOS PEPITA Y CENTRO. REPORTE DEL CREPAD.</t>
  </si>
  <si>
    <t>SAN MATEO</t>
  </si>
  <si>
    <t>BOYACA</t>
  </si>
  <si>
    <t>PUERTO LIBERTADOR</t>
  </si>
  <si>
    <t>PUTUMAYO</t>
  </si>
  <si>
    <t>VILLA GARZON</t>
  </si>
  <si>
    <t>SOPLAVIENTO</t>
  </si>
  <si>
    <t>DESBORDAMIENTO RIO CHAGUI. VEREDA LA BRISAS, EL CEIBO, CUARASANGA, SALISDI, SN PEDRO, BELLA VISTA, LA HONDA, BOCAS DE SILVI Y CALABASAL.</t>
  </si>
  <si>
    <t>INUNDACION</t>
  </si>
  <si>
    <t xml:space="preserve"> </t>
  </si>
  <si>
    <t>VEREDAS MIRAFLORES, LA DESPENSA, LA BALASTRERA, LA GLORIETA. DESBORDAMIENTO RIO GUEJAR. AFECTADA VIA PUENTE AMARILLO - NUEVO PROGRESO Y LA GLORIETA-MIRAFLORES</t>
  </si>
  <si>
    <t>DESBORDAMIENTO RIO GUEJAR. ONCE VEREDAS AFECTADAS.</t>
  </si>
  <si>
    <t>URBANIZACION PANAMERICANA. REPORTE DEL CREPAD.</t>
  </si>
  <si>
    <t>DAÑOS EN EL FLUIDO ELERCTRICO Y UN VEHICUULO AFECTADO.</t>
  </si>
  <si>
    <t>REPORTE DE  LA CRUZ ROJA</t>
  </si>
  <si>
    <t>2
8</t>
  </si>
  <si>
    <t>PERSONAS REUBICADAS EN LA ESCUELA URBANA. REPORTE PRELIMINAR DEL CREPAD.</t>
  </si>
  <si>
    <t>AGUA DE DIOS</t>
  </si>
  <si>
    <t>VEREDA SAN JOSE SECTOR AGUAS CLARAS DESBORDAMIENTO QUEBRADA LA PUNA.</t>
  </si>
  <si>
    <t>CHAGUANI</t>
  </si>
  <si>
    <t>VIA CHAGUANI - GUADUAS</t>
  </si>
  <si>
    <r>
      <t xml:space="preserve">CORREGIMIENTO DE CUATRO BOCAS Y PITA LIMON. ZONA RURAL. REPORTE DEL CLOPAD. </t>
    </r>
    <r>
      <rPr>
        <b/>
        <sz val="9"/>
        <rFont val="Arial"/>
        <family val="2"/>
      </rPr>
      <t>GIRO DIRECTO AL CLOPAD PARA CONSTRUCCION DE 4 VIVIENDAS, CUBIERTA PARA TRECE VIVIENDAS, COMBUSTIBLE, ALQUILER DE MAQUINARIA, ALIMENTACION POR VALOR $100,000,000</t>
    </r>
  </si>
  <si>
    <t>CORREGIMIENTO BILBAO. REPORTE DE CREPAD</t>
  </si>
  <si>
    <t>ZARAGOZA</t>
  </si>
  <si>
    <t>LA PINTADA</t>
  </si>
  <si>
    <t>OTANCHE</t>
  </si>
  <si>
    <t>CAIDA DEPOSTE SOBRE UNA PERSONA POR DESLIZAMIENTO Y FUERTES LLUVIAS. REPORTE DEL CREPAD</t>
  </si>
  <si>
    <t>MOSQUERA</t>
  </si>
  <si>
    <t>VEREDA NARANJOS INUNDACION POR FUERTES LLUVIAS. REPORTE DEL CREPAD.</t>
  </si>
  <si>
    <t>COMUNA 13 BARRIO BLANQUISAL. REPORTE DEL CREPAD.</t>
  </si>
  <si>
    <t>CAUCASIA</t>
  </si>
  <si>
    <t>BAGRE</t>
  </si>
  <si>
    <t>DESBORDAMIENTO RIO NECHI. REPORTE DEL CREPAD.</t>
  </si>
  <si>
    <t>LOCALIDAD RAFAEL URIBE URIBE BARRIO GRANJAS DE SAN PABLO.</t>
  </si>
  <si>
    <t>ATACO</t>
  </si>
  <si>
    <t>CALIMA DARIEN</t>
  </si>
  <si>
    <t>SAN JOSE DE URE</t>
  </si>
  <si>
    <t>REPRESAMIENTO QUEBRADA URE. REPORTE DE LA DEFENSA CIVIL.</t>
  </si>
  <si>
    <t>CASCO ORBANO REPORTE DE DEFENSA CIVIL.</t>
  </si>
  <si>
    <t>DESBORDAMIENTO ARROYOS PICHILI Y GUAVI. AFECTADOS 20 BARRIOS. REPORTE DE DEFENSA CIVIL</t>
  </si>
  <si>
    <t>PITALITO</t>
  </si>
  <si>
    <t>AFECTADA ESCUELA LA LAGUNA CORREGIMIENTO LA LAGUNA. REPORTE DEL CREPAD.</t>
  </si>
  <si>
    <t>BARRIOS EL PRADO, OBRERO, NUEVO, OLIMPICO, LA RIVERA ESCOBAR Y CORREGIMIENTO GUAMABANAL. REPORTE DEL CREPAD.-</t>
  </si>
  <si>
    <t>CRECIENTE DEL RIO TAME, VEREDA SOLEDAD, CRAVO TOTUMO, CRAVO COROZO, EL TRINFO, SOLEDAD Y LOBERIA, REPORTE PRELIMINAR DE DEFENSA CIVIL.</t>
  </si>
  <si>
    <t>DESBORDAMIENTO QUEBRADA AGUA BLANCA. REPORTE DEL CREPAD.</t>
  </si>
  <si>
    <t>SOLITA</t>
  </si>
  <si>
    <t>ENDIETNE AFECTACION REPORTE DEL CREPAD.</t>
  </si>
  <si>
    <t>DONCELLO</t>
  </si>
  <si>
    <t>REPORTE DEL CLOPAD. BARRIO CARLOS MEISEN.</t>
  </si>
  <si>
    <t>SINCELEJO</t>
  </si>
  <si>
    <t>REPORTE DE DEFENSA CIVIL. CRECIENTE SUBITA.</t>
  </si>
  <si>
    <t>REPORTE DEL CREPAD. AFECTADO CASCO URBANO.</t>
  </si>
  <si>
    <t>BARRIO EL PARAISO SECTOR LAS COCAS. REPORTE DE LA DEFENSA CIVIL.</t>
  </si>
  <si>
    <t>ARACATACA</t>
  </si>
  <si>
    <t>ATENDIDO</t>
  </si>
  <si>
    <t>REPORTE DE DDEFENSA CIVIL. CORREGIMIENTO LA PEÑA. EL ALCALDE DECLARO EMERGENCIA INVERNAL</t>
  </si>
  <si>
    <t>39941
48867</t>
  </si>
  <si>
    <t>SE APOYO A TRAVES DEL DEPARTAMENTO. POSTERIORMENTE SE BRINDO APOYO ADICIONAL TENIENNDO EN CUENTA LA MAGNITUD DE LA EMERGENCIA</t>
  </si>
  <si>
    <t>ALGARROBO</t>
  </si>
  <si>
    <t>DESBORDAMIENTO RIO ARIGUANI. VEREDA LA ESTACION. REPORTE DE LA DEFENSA CIVIL.</t>
  </si>
  <si>
    <t>TIBU</t>
  </si>
  <si>
    <t>DESBORDAMIENTO RIO TIBU, VEREDA TRES BOCAS Y OTRAS. REPORTE DEL CREPAD.</t>
  </si>
  <si>
    <t>BARRIO SAN LUIS. REPORTE DEL CREPAD Y SOCORRO NACIONAL.</t>
  </si>
  <si>
    <t>SAN JUAN NEPOMUCENO</t>
  </si>
  <si>
    <t>DESBORDAMIENTO CAÑOS CATALINA Y RASTRO. BARRIOS GUAPANDO, EL OJITO, BODEGA, EL CAMPITO. REPORTE DE LA DEFENSA CIVIL</t>
  </si>
  <si>
    <t>EL ZULIA</t>
  </si>
  <si>
    <t>308
19887</t>
  </si>
  <si>
    <t>294
19878</t>
  </si>
  <si>
    <t>SE APOYA DE MANERA COMPLEMENTARIA A LOS ESFUERZOS LOCLAES Y REGIONAL</t>
  </si>
  <si>
    <t>SE APOYA DE MANERA COMPLEMENTARIA</t>
  </si>
  <si>
    <t>48682
50182</t>
  </si>
  <si>
    <r>
      <t xml:space="preserve">ZONA URBANA Y RURAL. AQFECTADOS ALCALDIA, COLISEO, ANCIANATO, EDIFICIO MICROEMPRESARIAL Y VARIAS SEDES EDUCATIVAS Y UNICIENCIAS. BARRIOS PUERTO TEJADA, LA TRINIDAD, PUEBLO NUEVO, VIENTO LIBRE, LUIS CARLOS GALAN, FUNDADORES, EL ALTO, LA INMACULADA, ALTO DE LOS ALPES, LUS CARLOS GALAN ETAPAS 1,2,3,4,5 EL CENTRO, VEREDAS SANTA ROSA Y CAI MIO. REPORTE DEL CREPAD.. </t>
    </r>
    <r>
      <rPr>
        <b/>
        <sz val="11"/>
        <rFont val="Arial"/>
        <family val="2"/>
      </rPr>
      <t>solicitan ademas recursos para reparacion de vivienda, lo cual pasa a grupo de soporte para la gestion</t>
    </r>
  </si>
  <si>
    <t>CRECIENTE SUBITA RIO HUMADEA, VEREDA HUMADEA. REPORTE DE SOCORRO NACIONAL Y CREPAD META.</t>
  </si>
  <si>
    <t>REPORTE DE SOCORRO NACIONAL ´RELIMINAR</t>
  </si>
  <si>
    <t>TORNADO</t>
  </si>
  <si>
    <t>SAN DIEGO</t>
  </si>
  <si>
    <t>SE AOYA DE MANERA COMPLEMENTARIA</t>
  </si>
  <si>
    <t>MOÑITOS</t>
  </si>
  <si>
    <t>SINCE</t>
  </si>
  <si>
    <t>APOYO PARA LOS MUNICIPIOS DE ARAUCA, ARAUQUITA, SARAVENA, TAME, CRAVO NORTE, PUERTO RENDON.</t>
  </si>
  <si>
    <t xml:space="preserve">SE APOYO A TRAVES DEL CREPAD </t>
  </si>
  <si>
    <t>SE APOYA TENIENDO EN CUENTA LA MAGNITUD DE LA EMERGENCIA E EL DEPARAMENTO</t>
  </si>
  <si>
    <t>SE APOYA DE MANERA COMPLEMENTARIA A LOS ESFUERZOS LOCALES Y REGIONAL</t>
  </si>
  <si>
    <t>APOYO CON SACOS DE POPIPROPILENO</t>
  </si>
  <si>
    <t>SER APOYA A TRAVES DEL CREPAD</t>
  </si>
  <si>
    <t>SE APOYA TENIENDO EN CUENTA LA MAGNITUD DE LA EMERGNEICA</t>
  </si>
  <si>
    <t>289
20195
20203</t>
  </si>
  <si>
    <t>307
20213</t>
  </si>
  <si>
    <t>ZONA URBANA Y VEREDAS MORAL - EL TORO, NARANJO, GUAYABETAL, CORREGIMIENTO EL VALLE, BARRANCAS, TAQUE HELECHALES. REPORTE EL CREPAD. SOLICITAN APOYO PERO NO ENVIAN CENSOS NI AVAL.</t>
  </si>
  <si>
    <t>ENVIAN SOLICITUD DE APOYO EN EL MES DE SEPTIEMBRE. EN EVALUACION TENIENDO EN CUENTA QUE LA SOLICITUD ES EXTEMPORANEA.</t>
  </si>
  <si>
    <t>CORREGIMIENTO CARMELO, DEASBORDAMIENTO RIOS CARMELIT0, PURETO, MUERTO, PIÑA. REPORTE DEL CLOPAD Y CREPAD.</t>
  </si>
  <si>
    <t>CRECIENTE RIO LA MIEL VEREDAS ATARRAYA Y LA HABANA, CORREGIMIENTO SAN MIGUEL. REPORTE DEL SOCORRO NACIONAL</t>
  </si>
  <si>
    <t>BARRIO RODELO, DON BOSCO 2 Y 3 SAN FELIPE, NUEVO COLOMBIA Y COLEGIO FE Y ALEGRIA. REPORTE DE LA DEFENSA CIVIL.</t>
  </si>
  <si>
    <t>CRECIENTE RIO LA MIEL. VEREDA ATARRAYA Y LA HABANA.  REPORTE DEL CREPAD.</t>
  </si>
  <si>
    <t>CRECIENTE RIO LA MIEL, COREGIMIENTO SAN MIGUEL, REPORTE DEL CREPAD.</t>
  </si>
  <si>
    <t>REPRESAMIENTO RIO ZULIA. PUERTO ELON, PUERTO VILLAMIZAR Y AGUA CLARA. REPROTE DEL CREPAD</t>
  </si>
  <si>
    <t>AFECTDAO UN JARDIN INFANTL, EL COLISEO DEL CAFÉ, UN CENTRO COMERCIAL Y UN CASINO. REPORTE EL CLOPAD.</t>
  </si>
  <si>
    <t>REPRESAMIENTO DE LOS RIOS ZULIA, PAMPLONITA Y BRITA REPORTE DEL CREPAD.Y DEFENSA CIVIL.</t>
  </si>
  <si>
    <t>CLUB CAFAN AUTONORTE Y ENTRADA A GUAIMARAL. REPORTE DE LA DPAE.</t>
  </si>
  <si>
    <t xml:space="preserve">AFECTACTADOS 2 VEHICULOS. CAIDA DE ARBOLES. </t>
  </si>
  <si>
    <t xml:space="preserve">POPAYAN </t>
  </si>
  <si>
    <t>ASENTAMIENTO VOCES DE ESPERANZA. REPORTE DEL CRPAD.</t>
  </si>
  <si>
    <t>COMUNA 14, BUENAVISTA, MIRAFLORES Y ALBANIA. REPORTE DEL CLOPAD</t>
  </si>
  <si>
    <t>VEREDA SANTA ROSA. REPORTE DEL CREPAD.</t>
  </si>
  <si>
    <t>PERDIDA DE CULTIVOS Y AVES DE CORRAL.</t>
  </si>
  <si>
    <t>DESBORDAMEITNO RIO ZULIA. REPORTE DEL CREPAD.</t>
  </si>
  <si>
    <t>CORDOBA</t>
  </si>
  <si>
    <t>DESBORDAMIENTO RIO LA VEGA. BARRIOS DOÑA LIMBANIA, LA MARIA, POZO DE DONATO, LAS QUINTAS, AVENIDA NORTE, AVENIDA UNIVERSITARIA, AVENIDA OLIMPICA. REPORTE DEL CLOPAD.</t>
  </si>
  <si>
    <t>CORREGIMIENTOS SANTIAGO APOSTOL Y LA VENTURA. REPORTE DEL CLOPAD Y CREPAD.</t>
  </si>
  <si>
    <t>ESTUFAS</t>
  </si>
  <si>
    <t>VIAS</t>
  </si>
  <si>
    <t>MERCADOS</t>
  </si>
  <si>
    <t>HAMACAS</t>
  </si>
  <si>
    <t>CEPILLO NIÑO</t>
  </si>
  <si>
    <t>CINTA EMPALMAR</t>
  </si>
  <si>
    <t>COBIJA</t>
  </si>
  <si>
    <t>COLCHONETA</t>
  </si>
  <si>
    <t>CREMA DESOD.</t>
  </si>
  <si>
    <t>MUERTOS</t>
  </si>
  <si>
    <t>FECHA</t>
  </si>
  <si>
    <t>DEPTO</t>
  </si>
  <si>
    <t>TEJAS</t>
  </si>
  <si>
    <t>TRAMITE ANTE DGR</t>
  </si>
  <si>
    <t>SEGUIMIENTO Y CONTROL A LA EMERGENCIA</t>
  </si>
  <si>
    <t>CAUCA</t>
  </si>
  <si>
    <t>POPAYAN</t>
  </si>
  <si>
    <r>
      <t xml:space="preserve">DESBORDAMIENTO QUEBRADA LA PERDIZ. BARRIOS EL RAICERO Y SAN JUDAS BAJO.. REPORTE DE DEFENSA CIVIL. </t>
    </r>
    <r>
      <rPr>
        <b/>
        <sz val="9"/>
        <rFont val="Arial"/>
        <family val="2"/>
      </rPr>
      <t>EL VALOR DE OTROS CORRESPONDE A  2000 MTS DE CABLE CON ALMA DE ACERO DE 1 3/4, 200 BULTOS DE CEMENTO, 80 PERROS DE 1 1/2, 1200 ROLLOS DE MANGUERA DE 1/2, 300 ROLLOS DE MANGUERA DE 3/4.</t>
    </r>
  </si>
  <si>
    <t>DESBORDAMIENTO RIO CASANARE. VEREDA CASANARITO Y SARRADIO. REPORTE DE DEFENSA CIVIL</t>
  </si>
  <si>
    <t>DESBORDAMIENTO QUEBRADA  LA GARCIA.Y RIO BOCHELLI.  BARRIO LAS GRANJAS Y LOS ALPES. REPORTE DEL CREPAD.</t>
  </si>
  <si>
    <t>BARRIO SIGLO 20. REPORTE DEL CREPAD.,</t>
  </si>
  <si>
    <t>BARRIO EL TEMPLETE. REPORTE DEL CREPAD.</t>
  </si>
  <si>
    <t>APOYO GLOBAL PARA LOS TRES MUNICIPIOS.</t>
  </si>
  <si>
    <t>DESBORDAMIENTO QUEBRADA EL REVES</t>
  </si>
  <si>
    <t>CUCUTA</t>
  </si>
  <si>
    <t>VILLA DEL ROSARIO</t>
  </si>
  <si>
    <t>LEJANIAS</t>
  </si>
  <si>
    <t>POLICARPA</t>
  </si>
  <si>
    <t>TAMINANGO</t>
  </si>
  <si>
    <t>DESBORDAMIENTO CAÑO SAN MATEO. BARRIOS LA VICTORIA, TIERRA SANTA, 24 DE NOVIEMBRE, DIVINO NIÑO, SAN MATEO, MONTELIBANO, LA FLORIDA, EL RETORNO, ORIENTE, DNIEL ALFONSO, LA RAYA, SAN CARLOS, VEREDAS LA BALSA Y PUENTE DE SAN JORGE.</t>
  </si>
  <si>
    <t>DESBORDAMIENTO CAÑO DE LOBOS. REPORTE DE LA DEFENSA CIVIL.</t>
  </si>
  <si>
    <t>BARRIO GERMAN HUERTA. INUNDACION POR FUERTES LLUVIAS. REPORTE DEL CREPAD.</t>
  </si>
  <si>
    <t>DESBORDAMIENTO RIO URICHARE. VEREDA EL ROSAL. REPORTE DEL CREPAD.</t>
  </si>
  <si>
    <t>MUZO</t>
  </si>
  <si>
    <t>SECTOR SANTA HELENA. REPORTE DEL CREPAD.</t>
  </si>
  <si>
    <t>SECTOR EL BASA. REPORTE DEL CREPAD.</t>
  </si>
  <si>
    <t>BARRIO EL BOSQUE. REPORTE EL CLOPAD.</t>
  </si>
  <si>
    <t>AFECTADA BOCATOMA DE LA VEREDA SANTA EMILIA. REPORTE DEL CREPAD.</t>
  </si>
  <si>
    <t>VEREDA SANDIA. REPORTE DEL CREPAD.</t>
  </si>
  <si>
    <t>BARRANCA DE UPIA</t>
  </si>
  <si>
    <t>DESBORDAMIENTO RIO UPIA. REPORTE DEL CREPAD.</t>
  </si>
  <si>
    <t>DESBORDAMIENTO QUEBRADA EL CARBONERO. AFECTADO CORREGIMIENTO CAIMALITO, BARRIOS EL CARBONERO NUEVO REPORTE DEL CLOPAD.</t>
  </si>
  <si>
    <t>VEREDA LA ALMERIA. REPORTE DEL CREPAD.</t>
  </si>
  <si>
    <t>MONGUA</t>
  </si>
  <si>
    <t>VEREDA MONGUI SECTOR MATA REDONDO CAIDA DE ROCA SOBRE VIVIENDA.REPORTE DEL CREPAD.</t>
  </si>
  <si>
    <t>URIBE</t>
  </si>
  <si>
    <t>SE APOYA TENIENDO EN CUENTA LA URGENCIA EXPRESADA POR EL COMITÉ PARA LA RELIZACION DE LAS OBRAS.</t>
  </si>
  <si>
    <r>
      <t xml:space="preserve">DESBORDAMIENTO RIO DUDA. REPORTE DEL CREPAD. </t>
    </r>
    <r>
      <rPr>
        <b/>
        <sz val="9"/>
        <rFont val="Arial"/>
        <family val="2"/>
      </rPr>
      <t>APOYO DEL FNC MEDIANTE GIRO DIRECTO AL CLOPAD PARA LA CONSTRUCCION DE MURO EN GAVIONEN LA VEGA DEL RIO DUDASECTOR LA JULIA.</t>
    </r>
  </si>
  <si>
    <t>PLANADAS</t>
  </si>
  <si>
    <t>REPORTE DEL CLOPAD. ALEXANDRA CUELLAR CUELLAR 3106899770</t>
  </si>
  <si>
    <t>250 ZINC, 150 AC NO. 6, 75 CABALLETES Y 1000 AMARRES.</t>
  </si>
  <si>
    <t>VEREDA LA LINDA. REPORTE DEL CREPAD</t>
  </si>
  <si>
    <t>12 VEHICULOS ARRASTRADOS.</t>
  </si>
  <si>
    <t>DESLIZAMIENTO E INUNDACION POR DESBORDAMIENTO ARROYO MATUTE BARRIOS CERRO DE LA POPA, VILLA ROSITA, REPORSON, SINAI, SAN BERNARDO, PARAISO 2 LA TORRE Y LA PAZ.</t>
  </si>
  <si>
    <t>BARRIO SANTA FE SECTOR BAJAMAR. REPORTE DEL CLOPAD.</t>
  </si>
  <si>
    <t>DESBORDAMIENTO QUEBRADAS FRAILES Y LA VIBORA. BARRIO COMUNEROS. REPORTE DEL CLOPAD.</t>
  </si>
  <si>
    <t>BARRIO CARACOL. REPORTE DE LA DEFENSA CIVIL.</t>
  </si>
  <si>
    <t>DESBORDAMIENTO DE LOS RIOS SAN JORGE Y SINU. BARRIOS SAN JOSE, PUERTO COLON, PUERTO REAL, SAN RAFAEL, LA PAZ, MARIAN, CADELARIA, VERACRUZ, 19 CORREGIMIENTOS. REPORTE DE DEFENSA CIVIL.</t>
  </si>
  <si>
    <t>MALAMBO</t>
  </si>
  <si>
    <t>REPORTE PRELIMINAR DE LA DEFENSA CIVIL.</t>
  </si>
  <si>
    <t>AFECTADA ZONA URBANA BARRIO SAN CRISTOBAL, SAN RAFAEL, VILLA CARMENZA, LA ESPERANZA Y EL CENTRO. VEREDAS ARRAYAN BAJO, SAN MIGUEL.0. REPORTE DE LA DEFENSA CIVIL.</t>
  </si>
  <si>
    <t>BARRIO LA ESNEDA. REPORTE DE LA DEFENSA CIVIL.</t>
  </si>
  <si>
    <t>DESLIZAMIENTO EN LA AVENIDA CIRCUNVALAR. REPORTE DE LA DPAE</t>
  </si>
  <si>
    <t>CORREGIMIENTO LA JUANA. REPORTE DEL CREPAD.</t>
  </si>
  <si>
    <t>CORREGIMIENTO BILBAO, QUEBRADA LA LOMA.</t>
  </si>
  <si>
    <t>MORALES</t>
  </si>
  <si>
    <t>ARATOCA</t>
  </si>
  <si>
    <t>BARRIO CORINTO ZAONA NORTE. . PENDIENTE AFECTACION.</t>
  </si>
  <si>
    <t>DESBORDAMIENTO QUEBRADA GIGANTE, BARRIO SESIMO SUAREZ. REPORTE DEL CREPAD.</t>
  </si>
  <si>
    <t>BARRIO BRISAS DEL MAYO Y SILOE. REPORTE DEL CREPAD.</t>
  </si>
  <si>
    <t>PAJARITO</t>
  </si>
  <si>
    <t>PENDIENTE INFORMACION.</t>
  </si>
  <si>
    <t>ARRASTRADO UN VEHICULO.</t>
  </si>
  <si>
    <t>FUNDACION</t>
  </si>
  <si>
    <t>PLATO</t>
  </si>
  <si>
    <t>ARIGUANI</t>
  </si>
  <si>
    <t>CORREGIMIENTO LA PUNTA DE LOS REMEDIOS. REPORTE DEL CREPAD</t>
  </si>
  <si>
    <t>SE APOYA TENIENDO EN CUENTA LA NECESIDAD DE LA OBRA DEBIDO AL RIESGO DE LA COMUNIDAD EDUATIVA.</t>
  </si>
  <si>
    <r>
      <t>REPORTE DEL CREPAD.</t>
    </r>
    <r>
      <rPr>
        <b/>
        <sz val="9"/>
        <rFont val="Arial"/>
        <family val="2"/>
      </rPr>
      <t xml:space="preserve"> APOYO DEL FNC MEDIANTE GIRO DIRECTO AL CLOPAD PARA APOYAR LA CONSTRUCCION DE MUROS DE CONTENCION COMO OBRA DE PROTECCION DE LA INSTITUCION EDUCATIVA MARIANO DE JESUS EUSSE Y LA VIA CARRERA 10 DEL MUNICIPIO.</t>
    </r>
  </si>
  <si>
    <t>BARRIOS TEBAIDA, CANTARITO, LOS SAUCES, CENTRO. REPORTE DEL CREPAD,</t>
  </si>
  <si>
    <r>
      <t xml:space="preserve">AVALANCHA QUEBRADA PEÑAS BLANCAS VEREDA PEÑAS BLANCAS (BALBOA), CORREGIMIENTO PERALONSO (SANTUARIO) Y CORREGIMIENTO PATIO BONITO (LA CELIA). </t>
    </r>
    <r>
      <rPr>
        <b/>
        <sz val="9"/>
        <rFont val="Arial"/>
        <family val="2"/>
      </rPr>
      <t>APOYO DEL FNC MEDIANTE GIRO DIRECTO AL CLOPAD PARA APOYAR LA REHABILITACION DEL ACUEDUCTO DE PEÑAS BLANCAS, AFECTADO EN SU BOCATOMA.</t>
    </r>
  </si>
  <si>
    <t>CURITI</t>
  </si>
  <si>
    <t>BARRIOS EL ENSUEÑO Y NEUVOHORIZONTE. REPORTE DE LA CRUZ ROJA Y EL CREPAD.</t>
  </si>
  <si>
    <t>REPRESAMIENTO DE AGUS LLUVIAS. BARRIOS SAN ANTONIO, EL LAZARO Y SAN JOSE. REPORTE DEL CREPAD.</t>
  </si>
  <si>
    <t>204
25428</t>
  </si>
  <si>
    <r>
      <t xml:space="preserve">SE APOYA DE MANERA COMPLEMENTARIA A LOS ESFUERZOS LOCALES Y REGIONALES.  </t>
    </r>
    <r>
      <rPr>
        <b/>
        <sz val="8"/>
        <rFont val="Arial"/>
        <family val="2"/>
      </rPr>
      <t>GIRO DIRECTO AL CLOPAD PARA LA CORRECCION DEL CAUCE ERRATICO Y LEVANTAMIENTO DE TALUD EN EL RIO TANELA EN LOS SECTORES CAÑO NUEVO Y HOLANDA.</t>
    </r>
  </si>
  <si>
    <t>JARDIN</t>
  </si>
  <si>
    <t>SE APOYA TENIENDO EN CUENTA LA URGENCIA DE ADELANTAR OBRAS DE MITIGACION.</t>
  </si>
  <si>
    <t>DESBORDAMIENTO CAÑOS MAIZARO, RODAS Y CUERERA. BARRIOS VILLA DEL SOL, MAIZARO, TOPACIO, 13 DE MAYO, CIUDAD PORFIA, MORICHAL, RELIQUIA, CAÑO PENDEJO, PORTALES DEL LLANO, LA ESPERANZA, SAN CARLOS. REPORTE DE LA CRUZ ROJA Y LA DEFENSA CIVIL.</t>
  </si>
  <si>
    <t>VIA BOGOTA - META. REPORTE DEL CREPAD.</t>
  </si>
  <si>
    <t>BARRIO LOS ROBLES. REPORTE DE LA DEFENSA CIVIL.</t>
  </si>
  <si>
    <t>DESBORDAMIENTO QUEBRADA CHACUA. BARRIO PABLO NERUDA Y VEREDA CHACUA. REPORTE DEL CREPAD.</t>
  </si>
  <si>
    <t>LOCALIDAD CIUDAD BOLIVAR BARRIO MIRADOR. REPORTE DE LA DEFENSA CIVIL</t>
  </si>
  <si>
    <t>SECTOR URBANO. REPORTE DEL SOCORRO NACIONAL.</t>
  </si>
  <si>
    <t>SANTA MARTA</t>
  </si>
  <si>
    <t>BARRIO MARIA CECILIA, REPORTE DEL CREPAD.</t>
  </si>
  <si>
    <t>AFECATADA VIA VILLA RESTREPO - JUNTAS-. EVACUADAS 60 FAMILIAS POR PREVENCION. VEREDA EL RESBALON. REPORTE DEL CLOPAD.</t>
  </si>
  <si>
    <t>LOCALIDAD CIUDAD BOLIVAR BARRIO VILLA FLOR. REPORTE DE DEFENS CIVIL.</t>
  </si>
  <si>
    <t>VIA MAICAO . RIOHACHA KM 53.</t>
  </si>
  <si>
    <t>DESBORDAMIENTO RIO PARAGUACHON. CORREGIMIENTO PARAGUACHON, REPORTE DEL SOCORRO NACIONAL.</t>
  </si>
  <si>
    <t>BARRIOS EL SILO, EL CARDAL, LLANO GRANDE, LA DESPENSA, LEON XIII, SAN MATEO, CIUDAD SUCRE, TERRA GRANDE, FLORIDA 1 Y 2, ISIS, RINCON Y EL PORTAL, EUGENIO DIAZ, PANAMA, ALTOS DE PINO,. VILLA MERCEDES, LA UNION, EL PROGRESO, OLIVARES. DESBORDAMIENTO RIO SOACHA Y QUEBRADA TIBANICA.</t>
  </si>
  <si>
    <t>USIACURI</t>
  </si>
  <si>
    <t>BARRIO LA ARBOLEDA Y ALQUERIA CASA NO. 27. REPORTE DEL CLOPAD.</t>
  </si>
  <si>
    <t xml:space="preserve">DESBORDAMIENTO RIO GAVIOTA.  VEREDA GAVIOTA. AFECTADA VIA GAVIOTA - GAVIOTA ALTA. REPORTE DEL CREPAD. </t>
  </si>
  <si>
    <t>BARRIOS EL ALTO, VILLA CONSUELO, MARIA AUXILIADORA, DANUBIO, SANTA BARBARA, MATADERO, PESCADOR, CENTRO. VEREDAS HINCHE, IMURCA, ALPUJARRA, LA ENFADOSA, EL ELEGIDO, LA LAGUNA, TENERIFE, SARRAPURA, TANCURIN, LA APUESTA Y CASTILLO. REPORTE DEL CLOPAD Y CREPAD.</t>
  </si>
  <si>
    <t>PUERTO PARRA</t>
  </si>
  <si>
    <t xml:space="preserve">BARRIOS CENTRO, LA CUMBRE, KENNEDY Y FERROCARRIL. REPORTE DE DEFENSA CIVIL </t>
  </si>
  <si>
    <t>TAMESIS</t>
  </si>
  <si>
    <t>SAN JACINTO DEL CAUCA</t>
  </si>
  <si>
    <t>CORREGIMIENTO DE SAN ANTONIO DEL PANCHO. COMUNIDAD CHIVOLO. REPORTE DEL CREPAD.</t>
  </si>
  <si>
    <t>248 TEJAS DE AC NO. 6, 8 TEJAS DE AC NO. 8, 127 TEJAS DE ZINC Y 1786 AMARRES.</t>
  </si>
  <si>
    <t>570 TEJAS DE ZINC Y 4275 AMARRES</t>
  </si>
  <si>
    <t>520 TEJAS DE ZINC, 275 DE AC NO. 6 Y 3915 AMARRES</t>
  </si>
  <si>
    <t>SE APOYA TENIENDO EN CUENTA LA MAGNITUD DE LA EMERGENCIA</t>
  </si>
  <si>
    <t>MAGDALENA</t>
  </si>
  <si>
    <t>EL BANCO</t>
  </si>
  <si>
    <t>PERDIDA DE CULTIVOS Y ENSERES</t>
  </si>
  <si>
    <t>DESBORDAMIENTO RIO TIMBA Y QUEBRADA QUINAMAYU. REPORTE DEL CREPAD.</t>
  </si>
  <si>
    <t>EL PEÑON</t>
  </si>
  <si>
    <t>ZAMBRANO</t>
  </si>
  <si>
    <t>SANTA ROSA SUR</t>
  </si>
  <si>
    <t>SAN FERNANDO</t>
  </si>
  <si>
    <t>QUEBRADA SANTA LUCIA. VEREDA CECILIA, VALVULA Y CORREGIMIENTO ASERRIO SECTOR LA BATEA. REPORTE DEL CREPAD.</t>
  </si>
  <si>
    <t>CONVENCION</t>
  </si>
  <si>
    <t>AVALANCHA QUEBRADA CULEBRITAS. CORREGIMIENTO GUAMAL VEREDA CULEBRITAS. AFECTADA LA VIA CONVENCION - CULEBRITAS Y VIA CONVENCION - GUAMAL. REPORTE DEL CREPAD.</t>
  </si>
  <si>
    <t>COVEÑAS</t>
  </si>
  <si>
    <r>
      <t xml:space="preserve">DESBORDAMIENTO RIO TANELA, TIGRE Y ARCIA. AFECTADAS CABECERA MUNICIPAL Y VEREDAS ARQUIA, HOLANDA, CAÑO NUEVO, PATO LARGO, TICOLE. COMUNIDADES INDIGENAS YAQUERA, MOROCA, TUMURULA, SIPARADO. REPORTE DE LA DEFENSA CIVIL. </t>
    </r>
    <r>
      <rPr>
        <b/>
        <sz val="9"/>
        <rFont val="Arial"/>
        <family val="2"/>
      </rPr>
      <t>EL MUNICIPIO SE APOYO RECIENTEMENTE CON GIRO DIRECTO PARA TRABAJOS EN EL RIO TANELA.</t>
    </r>
  </si>
  <si>
    <t>AFECTADAS  18 MOTOCICLETAS Y 5 VEHICULOS</t>
  </si>
  <si>
    <t>NOBSA/FIRAVITOVA/ PAIPA/PUERTO BOYACA</t>
  </si>
  <si>
    <t>SE APOYA TENIENDO EN CUETNA LA MAGNITUD DE LA EMERGENCIA</t>
  </si>
  <si>
    <t>224
227
233</t>
  </si>
  <si>
    <t>VEREDA EL DIAMANTE</t>
  </si>
  <si>
    <t>VEREDA LA SELVA REPORTE DEL CREPAD.</t>
  </si>
  <si>
    <t>GUATICA</t>
  </si>
  <si>
    <t xml:space="preserve">VEREDAS MURRAPAL, LAS LOMAS, CORREGIMIENTO SANTA ANA, VEREDA BOLIVAR, BARRIO BERLIN VEREDA MILAS, CORREGIMIENTO SAN CLEMENTE, VEREDA OSPIRMA BAJA, </t>
  </si>
  <si>
    <t>AFECTACION EN CULTIVOS.</t>
  </si>
  <si>
    <t>BARRIO LOS NARANJOS, REPORTE DEL CREPAD.</t>
  </si>
  <si>
    <t>VEREDA CAIMAL</t>
  </si>
  <si>
    <t>DESBORDAMIENTO CIENAGA PUERTO FRANCO.REPORTE DEL CREPAD.</t>
  </si>
  <si>
    <t>SAN ZENON</t>
  </si>
  <si>
    <t>SANTA ANA</t>
  </si>
  <si>
    <t>BARRIO HORIZONTE SECTOR LA ESPERANZA. REPORTE DE LA DEFENSA CIVIL.</t>
  </si>
  <si>
    <t>JUAN DE ACOSTA</t>
  </si>
  <si>
    <r>
      <t xml:space="preserve">DESBORDAMIENTO RIO CAUCA Y MAGDALENA. BARRIOS VILLA MARIA, PLAYA RICA, VENEZUELA Y VILLA GERONIMO. VEREDAS PARAISO, CENTRO ALEGRE, TUCUYALTO, NISPERO, VEREDA, CORREGIMIENTOS BELLA VISTA, BUENAVISTA, PUERTO ISABEL, SANTA LUCIA, SAN ANDRES, PRIVIDENCIA, PLAYA BAJA, TRES CRUCES, MEDIALUNA, PALENQUERO, CONVENCION, SANTA FE, VILLA MARIA, LA PLAYITA, VILLA JANETH, NUEVA VICTORIA, PERALTA, CORONCORO. EL PARAISO, LOS NISPEROS, CONVENCION, GUACAMAYO, TRES CRUCES, BELLAVISTA, BUENAVISTA, ALGARROBO, EL PUENTE,  REPORTE DE LA DEFENSA CIVIL. </t>
    </r>
    <r>
      <rPr>
        <b/>
        <sz val="9"/>
        <rFont val="Arial"/>
        <family val="2"/>
      </rPr>
      <t>EL VALOR DE OTROS CORRESPONDE A 350 PARES DE BOTAS PARA ADULTO Y 150 PARA NIÑOS.</t>
    </r>
  </si>
  <si>
    <r>
      <t xml:space="preserve">DESBORDAMIENTO RIO CAUCA Y RUPTURA DEL DIQUE AFECTADO SECTOR BOCAS DEL CURA. FINCA LOS PINEDA, VWEREDA EL PARAISO. . REPORTE DE LA DEFENSA CIVIL. </t>
    </r>
    <r>
      <rPr>
        <b/>
        <sz val="9"/>
        <rFont val="Arial"/>
        <family val="2"/>
      </rPr>
      <t>APOYO DEL FNC MEDIANTE GIRO DIRECTO AL CLOPAD PARA ATENDER LA EMERGENCIA Y APOYAR LA ADQUISICION DE COMBUSTIBLE PARA LA MAQUINARIA QUE SE ENCUENTRA TRABAJANDO EN EL SECTOR COMPRENDIDO ENTRE LA BOCA DEL CANALY EL CHORRO DE LOS PINEDOS. EL VASLOR DE OTROS CORRESPONDE A 350 PARES DE BOTAS PARA ADULTO Y 150 PARA NIÑO.</t>
    </r>
  </si>
  <si>
    <t>GUAYABETAL</t>
  </si>
  <si>
    <t>SAN CRISTOBAL</t>
  </si>
  <si>
    <t>MARGARITA</t>
  </si>
  <si>
    <t>DESBORDAMIENTO CIENAGA SANGUREA CORREGIMIENTO BOHORQUEZ. REPORTO DEL CREPAD.</t>
  </si>
  <si>
    <t>DEBORDAMIENTO DE LOS CANALES RECOLECTORES DEL DISTRITO DE RIEGO. BARRIOS TIO MOLINA, SENA, LOS PATOS, LA FLORESTA, VILLA MANATI, VILLA FELICIDAD. REPORTE DEL CREPAD.</t>
  </si>
  <si>
    <t>RIO FRIO, QUEBNRADA MATEA, CORREGIMIENTOS JULIO ZAWADY, MAMON, CARITAL, CUYO,C CEIBALES CAÑO MOCHO.</t>
  </si>
  <si>
    <t>REMOLINO</t>
  </si>
  <si>
    <t>DESBORDAMEIONTO RIO MAGDALENA CABECERA MUNICIPAL Y CORREGIMEINTO DE LAS CASITAS Y VEREDA EL SALAO. REPORTE DEL CREPAD,</t>
  </si>
  <si>
    <t>CONCORDIA</t>
  </si>
  <si>
    <t>DESBORDAMIENTO RIO MAGDALENA CORREGIMIENTOS DEL BALSAMO ROSARIO DE CHENGUE BELLAVISTA.</t>
  </si>
  <si>
    <t>SITIO NUEVO</t>
  </si>
  <si>
    <t>AGUACHICA</t>
  </si>
  <si>
    <t>SECTOR COMERCIAL ZONA CENTRO. BARRIOS EL CABLE, EL COMERCIO, EL ACEITUNO, OESQUERA, PALOMERA Y CORREGIMIENTOS DE PUERTO CAPULCO, CASCAJAL, Y CONTENTO.</t>
  </si>
  <si>
    <t>REPORTE DEL SOCORRO NACIONAL.</t>
  </si>
  <si>
    <t>TIQUISIO</t>
  </si>
  <si>
    <t>PINILLOS</t>
  </si>
  <si>
    <t>DESBORDAMIENTO RIO MAGDALENA. SECTOR BRAZO DE LOBA, SFECTADAS 7 VEREDAS Y 9 CORREGIMIENTOS. REPORTE DE LA DEFENSA CIVIL.</t>
  </si>
  <si>
    <t>CAÑO DE LA LATA,S LAS PAVITAS, EL DIQUE, PUEBLO BUHO, EL MAMON, LAS OSAS, PUMPUMA, LA SOLERA, CABECERA MUNICIPAL, NUEVA ESTRELLA, NUEVA FE, BARRO BLANCO, LA MEJIA Y AGUILASR. REPORTE DEL CREPAD.</t>
  </si>
  <si>
    <t>BARRIO VILLA DE LOS ALPES CIUDAD BOLIVAR. USME, VILLA ANITA Y SAN CRISTOBAL BARRIO SAN BLAS. REPORTE DE LA DPAE.</t>
  </si>
  <si>
    <t>TRUJILLO</t>
  </si>
  <si>
    <t>COLAPSO DE MURO POR FUERTES LLUVIAS.SECTOR INMACULADA. REPORTE DE CREPAD.</t>
  </si>
  <si>
    <t>SANTUARIO</t>
  </si>
  <si>
    <t>DESBORDAMIENTO RIO MAPA.</t>
  </si>
  <si>
    <t>SARAVENA</t>
  </si>
  <si>
    <t>BUENAVENTURA</t>
  </si>
  <si>
    <t>SE APOYA TENIENDO EN CUENTA LA MAGNITUDE LA EMERGENCIA</t>
  </si>
  <si>
    <t>SE APOYA TENIENDO EN CUENTA LA MAGNITUD DE LA EMERENCIA</t>
  </si>
  <si>
    <t>DESBORDAMIENTO RIO MAGDALENACORREGIMIENTO DE LAS PAILASEL DIQUE Y CHAPARRAL</t>
  </si>
  <si>
    <t>389389
38019</t>
  </si>
  <si>
    <t>38939
37190</t>
  </si>
  <si>
    <t>38939
33583</t>
  </si>
  <si>
    <t>38939
36639</t>
  </si>
  <si>
    <t>SE BRINDO APOYO GLOBAL AL DEPARTAMENTO</t>
  </si>
  <si>
    <t>SE BRINDO APOYO GLOBAL PARA LOS 22 MUNICIPIOS AFECTADOS</t>
  </si>
  <si>
    <t>39941
40418</t>
  </si>
  <si>
    <t>SE APOYO A TRAVES DEL DEPARTAMENTO</t>
  </si>
  <si>
    <t>39941
41154</t>
  </si>
  <si>
    <t xml:space="preserve">SE APOYA DE MANERA COMPLEMENTARIA A LOS ESFUERZOS LOCALES Y REGIONALES. </t>
  </si>
  <si>
    <t>BARRIO SAN ISIDRO. REPORTE DEL CREPAD Y SOCORRO NACIONAL</t>
  </si>
  <si>
    <t>VENECIA</t>
  </si>
  <si>
    <t>VEREDA LA CHORRERA. QUEBRADA LA CHORRERA. REPORTE DE LA DEFENSA CIVIL.</t>
  </si>
  <si>
    <t>PUERTO SANTANDER</t>
  </si>
  <si>
    <t>PENDIENTE AFECTACION</t>
  </si>
  <si>
    <t>SE APOYO DE MANERA GLOBAL A TRAVES DEL CREPAD</t>
  </si>
  <si>
    <r>
      <t xml:space="preserve">BARRIOS FERROCARIL, ARBOLEDA, 20 DE JULIO, CABRERA, ORIENTAL, OASIS, COSTA HERMOSA, VISTA HERMOSA, HIPODROMO, SAN ANTONIO, PORVENIR, LA MARIA, VILLA CARMEN, VILLA MUTIZ, FLORESTA, NUEVO HORIZONTE, LA ILUSION, PRIMERO DE MAYO, FERIAS, MANUELA BELTRAN VILLA MUBDI, DESBORDAMIENTO DE LOS ARROYOS EL SALADO Y PLATANAL. REPORTE DEL ALCALDE MUNICIPAL. </t>
    </r>
    <r>
      <rPr>
        <b/>
        <sz val="9"/>
        <rFont val="Arial"/>
        <family val="2"/>
      </rPr>
      <t>SE APOYO A TRAVES DEL CREPAD.</t>
    </r>
  </si>
  <si>
    <t>PENDIENTE AFECTACION.  REPORTE DEL CREPAD.</t>
  </si>
  <si>
    <t>CORREGIMIENTO LAS COMPUERTAS DESBORDAMIENTO DEL CANAL DEL DIQUE. REPORTE DEL CREPAD</t>
  </si>
  <si>
    <t>CAJAMARCA</t>
  </si>
  <si>
    <t>VEREDA LA JULIA VIA LA LINEA. REPORTE DEL CREPAD.</t>
  </si>
  <si>
    <t>DESBORDAMIENTO QUEBRADA TAMACA. BARRIOS EL PANDO, LUZ DEL MUNDO, 19 DE ABRIL, EL PARQUE, CHIMILA I, BASTIDAS, ONDAS DEL CARIBE. REPORTE DEL CLOPAD.</t>
  </si>
  <si>
    <t>NUNCHIA</t>
  </si>
  <si>
    <r>
      <t xml:space="preserve">DESBORDAMIENTO RIO CAUCA. REPORTE DE LA DEFENSA CIVIL. </t>
    </r>
    <r>
      <rPr>
        <b/>
        <sz val="9"/>
        <rFont val="Arial"/>
        <family val="2"/>
      </rPr>
      <t>EL VALOR DE OTROS CORRESPONDE A 350 PARES DE BOTAS PARA ADULTO Y 150 PARA NIÑO</t>
    </r>
  </si>
  <si>
    <t>PERDIDA DE CULTIVOS DE ARROZ, FRUTALES, YUCA, PLATANO, MAIZ.</t>
  </si>
  <si>
    <t>INSPECCION PUERTO UMBRIA. CRECIENTE DEL RIO GUINEO.. REPORTE DE LA DEFENSA CIVIL.</t>
  </si>
  <si>
    <t>RICAURTE</t>
  </si>
  <si>
    <t>PASTO</t>
  </si>
  <si>
    <t>BARRIOS SAN MARTIN, SANTA CLARA Y EL PILAR. REPORTE DEL CLOPAD.</t>
  </si>
  <si>
    <t>REPORTE DE LA DEFENSA CIVIL</t>
  </si>
  <si>
    <t>SIBATE</t>
  </si>
  <si>
    <t>CERINZA</t>
  </si>
  <si>
    <t>142
185</t>
  </si>
  <si>
    <t>137
158
318
161
162
181
185</t>
  </si>
  <si>
    <t>LOCALIDADES DE FONTIBON, USME Y BOSA BARRIOS PUENTE GRANDE, CASANDRA, LOS MOLINOS, ENCANTO, CASTILLA, SANTA ROSA DE LIMA Y SAN BENITO. REPORTE DE DPAE Y DEFENSA CIVIL BOGOTA.</t>
  </si>
  <si>
    <t>DESBORDAMIENTO RIO LIMONAR Y SAN FRANCISCO. BARRIOS CENTRO SAN JOSE, BENJAMIN HERRERA, CAMINO REAL, CIUDADELA, PARAMILLO, POLICARPA, LOS VIRREYES, TOMAS CIPRIANO Y EL VALLADO. MEDIANTE OFICIO DEL 18 DE JUNIO EL CREPAD INFORMA QUE LA EMERGENCIA FUE ATENDIDA CON APOYO DEL CREPAD.</t>
  </si>
  <si>
    <t>PENDIENTE</t>
  </si>
  <si>
    <t>SOLICITAN APOYO COMPLEMENTARIO</t>
  </si>
  <si>
    <t>BARRIO RODRIGO TURBAY, CALLE DE LOS INDIOS, MAICERO Y RODRIGO TURBAY PARTE BAJA.</t>
  </si>
  <si>
    <t>DESBORDAMIENTO RIO TEUSACA. BARRIOS MANATIAL, TOGA , POPA, SAUCES, PORTADA Y EL CEMENTERIO</t>
  </si>
  <si>
    <t>CRECIENTE ARROYO MEIMAI SECTOR PUERTO ESTRELLA.</t>
  </si>
  <si>
    <t>CIUDAD BOLIVAR, BARRIO SIERRA MORENA.</t>
  </si>
  <si>
    <t>VEGACHI</t>
  </si>
  <si>
    <t>DESBORDAMIENTO QUEBRADA LA CRUZ</t>
  </si>
  <si>
    <t>AMALFI</t>
  </si>
  <si>
    <t>DESBORDAMIENTO QUEBRADAS EL PALACIO, GUAYABITO Y VIBORA</t>
  </si>
  <si>
    <t>ANORI</t>
  </si>
  <si>
    <t>FUERTES LLUVIAS</t>
  </si>
  <si>
    <t>VEREDAS LOURDES, EL CARMELO, VARGAS, POTRERITO. PENDIENTE AFECTACION.</t>
  </si>
  <si>
    <t>CANTAGALLO</t>
  </si>
  <si>
    <t>BARRIOS LAS QUINTAS, ALAMEDA DEL BOSQUE, SANTA INES, MESOPOTAMIA</t>
  </si>
  <si>
    <t>DESBORDAMIENTO RIO MAGDALENA BARRIOS PRIMERO DE MAYO</t>
  </si>
  <si>
    <t>TAMALAMEQUE</t>
  </si>
  <si>
    <t>CARTAGENA</t>
  </si>
  <si>
    <t>ALTO BAUDO</t>
  </si>
  <si>
    <t>DESBORDAMIENTO DEL RIO  MIRA. CORREGIMIENTO CANDELILLA, IMBILI. VEREDAS MAGUI PARTE BAJA, AL AZUCAR PARTE BAJA, EL COCO PARTE BAJA, LA DUANA PARTE BAJA, ALTO PLAYON , EL VALLENATO Y JARDIN PARTE BAJA., CASA VIEJA, ALCUAN, LA PLAYA, LA HONDA, PLAYA BAJA, SAN JUAN, RIO MIRA, HACHOTAL, VUIELTA DE CANDELILLAS, CANDELILLA RIO MIRA PARTE BAJA, LA PLAYITA, PANAL TULMO, MIRASPALMAS PARTE BAJA, EL GUABO, IMBILI LA LOMA BAJA, CARRETERA, IMBILI LA VEGA, PEÑA COLORADA, HIGUARAL, GUACHAL BRISAS, GUACHAL BARRANCO, GUACHAL LA VEGA, VUELTA DE CAJAPI, BOCAS DE CAJAPI, ALTOP JAGUA, BAJO JAGUA, ALTO SAN ISIDRO, MEDIO SAN ISIDRO, BAJOI SAN ISIDRO, BELLA VISTA, DESCOLGADERO, BRISAS DEL ACUEDUCTO, NUEVA REFORMA, INGUAPI DEL GUADUAL, INGUAPI DEL GUAYABO, EL PLAYON BAJO, CARLO SAMA, PUEBLO NUEVO, ISLA GRANDE, LA UNION, NUEVA INDEPENDENCIA, NUEVA BRISA, EL NARANJO Y LAS CARGAS.</t>
  </si>
  <si>
    <t>SECTORES PETECUY 1, 2 Y 3, DC PAZ, NAPOLES, ALTOS DE SILOE, CALIMIO, BELEN, LOS CHORROS, PAMPAS DEL MIRADOR, CALIMA NORTE. PENDIENTE EVALUACION.</t>
  </si>
  <si>
    <t>DESBORDAMIENTO RIO PIRI. REPORTE DEL CREPAD. AFECTADA VIA MONTEREDONDO - EL CALVARIO.</t>
  </si>
  <si>
    <t>LA PAZ</t>
  </si>
  <si>
    <t>LOCALIDADES DE USAQUEN, RAFAEL URIBE, Y COIUDAD BOLIVAR, BARRIOS SORATAMA, LOS PUENTES, BRISAS DEL VOLADOR Y POTOSI LA ISLA.</t>
  </si>
  <si>
    <t>FAMILIAS EVACUADAS PREVENTIVAMENTE NE LAS LOCALIDADES DE CIUDAD BOLIVAR Y USME BARRIOS EL PEDREGAL, Y CARACOLI.</t>
  </si>
  <si>
    <t>AFECTADOS 40 VEHICULOS EN PARQUEADEROS SUBTERRANEOS.</t>
  </si>
  <si>
    <t>AFECTADA ZONA RURAL EN EVALUACION.</t>
  </si>
  <si>
    <t>DEBORDAMIENTO RIO MAICERO BARRIO TRECE D E MAYO Y RELIQUIAS . PENDIENTE EVALUACION.</t>
  </si>
  <si>
    <t>GRANJA SANTA RITA. DESBORDAMIENTO RIO CHICAMOCHA.</t>
  </si>
  <si>
    <t>CIUDAD BOLIVAR. BARRIO VILLA GLORIA. REPORTE DPAE</t>
  </si>
  <si>
    <t>SAN PABLO DE BORBUR</t>
  </si>
  <si>
    <t>REPORTE DE LA CRUZ ROJA</t>
  </si>
  <si>
    <t>VIA SUBA - COTA.VEREDA CHIRRILLOS.</t>
  </si>
  <si>
    <t>CHIA</t>
  </si>
  <si>
    <t>DESBORDAMIENTO RIO FRIO.</t>
  </si>
  <si>
    <t>NECHI</t>
  </si>
  <si>
    <t>NO HAY SOLICITUD DE APOYO</t>
  </si>
  <si>
    <t>LA SIERRA</t>
  </si>
  <si>
    <t>MERCADERES</t>
  </si>
  <si>
    <t>TULUA</t>
  </si>
  <si>
    <t>REPORTE DEL CREPAD.</t>
  </si>
  <si>
    <t>VEREDA PUERT SAN SALVADOR. REPOTE DEL CREPAD</t>
  </si>
  <si>
    <t xml:space="preserve">CASCO URBANO Y VEREDA MONSERRATE. </t>
  </si>
  <si>
    <t>CONTRATACION</t>
  </si>
  <si>
    <t>SAN VICENTE DE CHUCURI</t>
  </si>
  <si>
    <t>SAN JOSE MIRANDA</t>
  </si>
  <si>
    <t>SIMACOTA</t>
  </si>
  <si>
    <t>CARCASI</t>
  </si>
  <si>
    <t>SE APOYA E MANERA COMPLEMENTARIA TENIENDO EN CUENTA LA AFECTACION EN VIVIENDAS Y CENTROS EDUCATIVOS</t>
  </si>
  <si>
    <t>SE APOYA TENIENDO EN CUENTA EL APOYO LOCAL Y LA GRAVE AFECTACION DEL DEPARTAMENTO</t>
  </si>
  <si>
    <t>CALI</t>
  </si>
  <si>
    <t>LOS APOYOS EN TRAMITE CORRESPONDEN A ASISTENCIA HUMANITARIA ENTREGADA, PERO QUE SE ENCUENTRA EN TRAMITE ADMINISTRATIVO EN LA DGR</t>
  </si>
  <si>
    <t>C.COMUNIT.</t>
  </si>
  <si>
    <t>MENAJES</t>
  </si>
  <si>
    <t>JABON BAÑO</t>
  </si>
  <si>
    <t>AP.ALIMENT.</t>
  </si>
  <si>
    <t>OTROS</t>
  </si>
  <si>
    <t>CANTIDAD</t>
  </si>
  <si>
    <t>VALOR</t>
  </si>
  <si>
    <t>CEPILLO ADULTO</t>
  </si>
  <si>
    <t>KIT ASEO</t>
  </si>
  <si>
    <t>SE APOYA TENIENDO EN CUENTA LAS CONSECUENCIAS SOBRE LAS VIVIENDAS.</t>
  </si>
  <si>
    <t>96835
96822</t>
  </si>
  <si>
    <t>DESBORDAMIENTO QUEBRADA EL SALADO. COMUNIDADES EL CARMEN Y SAN ANTONIO, BARRIOS LAS AMERICAS Y EL JARDIN. ZONA URBANA. REPORTE DEL CREPAD.</t>
  </si>
  <si>
    <t>DESBORDAMIENTO QUEBRADA EL SALADO. ZONA RURAL REPORTE DE LA DEFENSA CIVIL Y DEL CREPAD.</t>
  </si>
  <si>
    <t>CAIDA DE MURO COLEGIO GUSTAVO ROJAS Y SECRETARIA DE SALUD.</t>
  </si>
  <si>
    <t>AFECTADA UNA HECTARES DE CULTIVOS.</t>
  </si>
  <si>
    <t>SECTOR PARROQUIA Y TOLOSA. REPORTE DEL CREPAD.</t>
  </si>
  <si>
    <t>LAS FAMILIAS FUERON REUBICADAS. SECTOR LA CARRERA. REPORTE DEL CREPAD..</t>
  </si>
  <si>
    <t>AFECTADOS CULTIVOS DE CEBOLLA Y PASTOS</t>
  </si>
  <si>
    <t>VEREDA CENTRO, SECTOR EL PARAISO. REPORTE DEL CREPAD</t>
  </si>
  <si>
    <t>SAN VICENTE DE FERRER</t>
  </si>
  <si>
    <t>AFECTADOS CULTIVOS DE PAPA, FRESA Y MORA</t>
  </si>
  <si>
    <t>REPRTE DEL CREPAD.</t>
  </si>
  <si>
    <t>GAMBITA</t>
  </si>
  <si>
    <t>SAN RAFAEL</t>
  </si>
  <si>
    <t>SECTOR EL BISCOCHO. REPORTE DEL CREPAD.</t>
  </si>
  <si>
    <t>INUNDACION POR FUERTES LLUVIAS</t>
  </si>
  <si>
    <t>CORREGIMIENTO PALMARITO,. REPORTE TELEFONICO DEL CREPAD.</t>
  </si>
  <si>
    <t>CORREGIMIENTO DE BOCAS DE GUAMAL Y COYONGAL</t>
  </si>
  <si>
    <t>UNGUIA</t>
  </si>
  <si>
    <t>NOVITA</t>
  </si>
  <si>
    <t>ATRATO</t>
  </si>
  <si>
    <t>RIO IRO</t>
  </si>
  <si>
    <t>ENCHARCAMIENTO DE VIAS Y EN EVALUACION FAMILIAS AFECTADAS. LOCALIDAD DE TUNJUELITO Y USME</t>
  </si>
  <si>
    <t>AIPE</t>
  </si>
  <si>
    <t>MEDIO BAUDO</t>
  </si>
  <si>
    <t>PUERTO SALGAR</t>
  </si>
  <si>
    <t>QUETAME</t>
  </si>
  <si>
    <t>SAN JUAN DE RIOSECO</t>
  </si>
  <si>
    <t>VILLETA</t>
  </si>
  <si>
    <t>ZIPAQUIRA</t>
  </si>
  <si>
    <t>URIBIA</t>
  </si>
  <si>
    <t>HUILA</t>
  </si>
  <si>
    <t>NORTE DE SANTANDER</t>
  </si>
  <si>
    <t>SAN BERNARDO DEL VIENTO</t>
  </si>
  <si>
    <t>BARRIO EL PARAISO, CORREGIMIENTOS DE TREMENTINO ISLA GRANDE DE MARIN, CISIRA, Y LIMON</t>
  </si>
  <si>
    <t>BARRIO CASUCA, SECTOR LA CAPILLA.</t>
  </si>
  <si>
    <t>BARRIO LA GLORIA SECTOR CASIMIRO. REPORTE DE LA DEFENSA CIVIL</t>
  </si>
  <si>
    <t>BARRIOS SIETE DE ABRIL, Y SURTIZ. REPORTE DEL CLOPAD</t>
  </si>
  <si>
    <t>GALAPA</t>
  </si>
  <si>
    <t>REPORTE DE DEFENSA CIVIL.</t>
  </si>
  <si>
    <t>VEREDA LA CIMA,CRECIENTE SUBITA RIO LA CAL. REPORTE DEL CREPAD</t>
  </si>
  <si>
    <t>ZONA BANANERA</t>
  </si>
  <si>
    <t>PERDIDA DE CULTIVOS.</t>
  </si>
  <si>
    <t>CUCUTILLA</t>
  </si>
  <si>
    <t>CORREGIMIENTO DE SAN JOSE DE LA MONTAÑA, VEREDA ALREDEDOR, SITIO QUEBRADA SECA.</t>
  </si>
  <si>
    <t>FINCA LA MARINA VEREDA LA ALEMANIA. REPORTE DEL CREPAD. MUERTE DE UN TRABAJADOR POR CAIDA DE ARBOL.</t>
  </si>
  <si>
    <t>BARRIOS CALLE 14 Y BOLIVAR SEGUNDO SECTOR.</t>
  </si>
  <si>
    <t>TOCAIMA</t>
  </si>
  <si>
    <t>DESBORDAMIENTO QUEBRADA LA PUMA</t>
  </si>
  <si>
    <t>APULO</t>
  </si>
  <si>
    <r>
      <t xml:space="preserve">SECTOR URBANO Y VEREDAS FUNZA, PROVIDENCIA, APOSENTOS BAJO Y ALTO, </t>
    </r>
    <r>
      <rPr>
        <b/>
        <sz val="9"/>
        <rFont val="Arial"/>
        <family val="2"/>
      </rPr>
      <t>APOYO DEL FNC MEDIANTE GIRO DIRECTO AL CLOPAD PARA LA ADQUISICION DE TEJAS ($7.000.000) Y ABONO PARA REACTIVAR EL SECTOR AGRICOLA($8,000,000)</t>
    </r>
  </si>
  <si>
    <t>AREA URBANA Y SECTOR MATACANDELA. REPORTE DEL CREPAD.</t>
  </si>
  <si>
    <t>BARRIOS SURDIS Y AMERICAS</t>
  </si>
  <si>
    <t>BOCHALEMA</t>
  </si>
  <si>
    <t xml:space="preserve">SECTOR LA BUITRERA REPORTE DE LA CRUZ ROJA </t>
  </si>
  <si>
    <t>DESLIZAMIENTO SOBRE LA BOCATOMA QUEBRADA LOS VALLECITOS. POBLACION SIN SUMINSTRO EAGUA, REPORTA LA DEFENSA CIVIL.</t>
  </si>
  <si>
    <t>SANTA ISABEL</t>
  </si>
  <si>
    <t>DAÑOS EN LA BOCATOMA, REPORTA DEFENSA CIVIL.</t>
  </si>
  <si>
    <t>JAMUNDI</t>
  </si>
  <si>
    <t>PALMIRA</t>
  </si>
  <si>
    <t>CORREGIMEINTO PALMA SECA. REPORTE DEL CREPAD</t>
  </si>
  <si>
    <t>PERDIDA DE ENSERES</t>
  </si>
  <si>
    <t>REPORTE DEL CLOPAD. BARRIOS FATIMA, PATIO BONITO, PRIMERO DE MAYO, MINUTO DE DIOS BELEN. CONFIRMO CREPAD Y DCC</t>
  </si>
  <si>
    <t>YAGUARA</t>
  </si>
  <si>
    <t>DESCARGA ELERCTRICA EN LA COMUNA 21. REPORTE DEL CREPAD</t>
  </si>
  <si>
    <t>SECTOR PLUMON ALTO</t>
  </si>
  <si>
    <t>MURILLO</t>
  </si>
  <si>
    <t>QUEBRADA VALLECITOS. REPORTE DEL CREPAD</t>
  </si>
  <si>
    <t>MOMPOX</t>
  </si>
  <si>
    <t>TAME</t>
  </si>
  <si>
    <t>96704
96608</t>
  </si>
  <si>
    <t>TUNJA</t>
  </si>
  <si>
    <t xml:space="preserve">DESLIZAMIENTO EN LA VIA CUCUTA - SALAZAR DE LAS PALMAS. </t>
  </si>
  <si>
    <t>DDESBORDAMIENTO RIO CAUCA. REPORTE DE LA DEFENSA CIVIL.</t>
  </si>
  <si>
    <t>BARRIOS EL BAJITO, TOLMO Y LA VUELTA. FAMILIAS EVACUADAS PREVENTVAMENTE.REPORTE DEL CREPAD.</t>
  </si>
  <si>
    <t>MEDINA</t>
  </si>
  <si>
    <t>FUSAGASUGA</t>
  </si>
  <si>
    <t>BARRIOS GAITAN, FLORIDA, SANTANDER, LA ESMERALDA, BALMORAL, SANTA ANITA, MANDALAY, SAN JORGE.  INUNDACIONES POR SATURACION DE ALCANTARILLAS.. REPORTE DEL CREPAD.</t>
  </si>
  <si>
    <t>BUCARAMANGA</t>
  </si>
  <si>
    <t>FUERTES LLUVIAS CON FUERTES VIENTOS. BARRIO BELEN, VILLA PAZ, NACIONAL, SUCRE, SAUCEGAL Y GUASIMAL</t>
  </si>
  <si>
    <t>MIRADOR DE CORINTOS Y SECTOR LOS OLIVOS</t>
  </si>
  <si>
    <t>VEREDA LAS GUALAS. REPORTE DELA DEFENSA CIVIL.</t>
  </si>
  <si>
    <t>DESBORDAMIENTO RIO GUINEO. CASO URBANO.  REPORTE DE LA DEFENSA CIVIL.</t>
  </si>
  <si>
    <t>DESBORDAMIENTO QUEBRADAS GUADUAL Y LISA. SECTOR RURAL GARZAS, VEREDAS LA LUISA. PRINGAMOZAL, CENTRO, GUACAMAYAS, CAÑADAS, CERRO GORDO, EL SAMAN, SERREZUELA, PRIMAVERA, SAN CAYETANO, TOVASR, PUEBLO NUEVO, RINCON SANTO, BOCAS DEL LEMAYA, CHIPUELO ORIENTE, BARRIO EL CARMEN, SAN PABÑLO, LAS `PALMERAS, PABLO SEXTO, SAN MARTIN SANTA ANA, IFA.REPORTE DEL CREPAD.</t>
  </si>
  <si>
    <t>ICONONZO</t>
  </si>
  <si>
    <t>DESBORDAMIENTO RIO CHIQUITO BARRIOS SAN ANTONIO, PIÑUELAS, TOCOLOA, LAGOS TERCERA ETAPA Y SANTA CRUZ.</t>
  </si>
  <si>
    <t>BARRIO LA MANGA. AFECTADA UNA IGLESIA.</t>
  </si>
  <si>
    <t>TRES BARRIOS LA CANDELARIA, SAN ANTONIO Y SANTO TOMAS.</t>
  </si>
  <si>
    <t>BARRIOS BRISAS, NUEVA ESPERANZA, JARDINES DE PAZ, LA ARBOLEDA Y SAN ISIDRO. REPORTE DEL CREPAD.</t>
  </si>
  <si>
    <t>DESBORDAMIENTO RIO LUISA Y QUEBRADA LEMAYA. BARRIOS SANTA ANA, PABLO SEXTO, LAS PALMAS, Y EL CARMEN.</t>
  </si>
  <si>
    <t>HONDA</t>
  </si>
  <si>
    <t>DESBORDAMIENTO RIO MAGDALENA BARIOS PACHO Y CARACOLI</t>
  </si>
  <si>
    <t>LA DORADA</t>
  </si>
  <si>
    <t>BUCARASICA</t>
  </si>
  <si>
    <t>AFECTADA VIA SAN JUANA - BUCARASICA</t>
  </si>
  <si>
    <t>DESBORDAMIENTO QUEBRA EL PALMAR CORREGIMIENTOS PUEBLO NUEVO, EL PALMAR Y MUNDO AL REVES.</t>
  </si>
  <si>
    <t>SE APOYA TENIENDO EN CUENTA LA MAGNITUD DE LA EMEREGENCIA</t>
  </si>
  <si>
    <t>BARRIOS SEA, DORADO, VILLA HELENA, VEREAS LA VOLADURA ALTA, Y CUBA REPORTE DEL CLOPAD</t>
  </si>
  <si>
    <t>BARRIO VILLA MARIA. REPORTE DEL CREPAD</t>
  </si>
  <si>
    <t>DESBORDAMIENTO ARROYO GRANDE. BARRIOS SAN JOSE, LA JOSEFINA, EL OASIS, DAJER CHADID, SAN FRANCISCO, LAS FAROLAS, LOS ALPES, REPORTE DEL CREPAD. Y CRUZ ROJA</t>
  </si>
  <si>
    <t>INUNDACION POR FUERTES LLUVIAS BARRIOS BACHELIN Y MIRADOR. REPORTE DEL CREPAD.</t>
  </si>
  <si>
    <t>SANTA ROSA</t>
  </si>
  <si>
    <t>DESBORDAMEINTO QUEBRADA INANEA. REPORTE DEL CREPAD Y CLOPAD. SERRANIA SAN LUCAS, SECTOR LOS CANELOS, VEREDA CAÑOVERAS. MINA LA FORTUNA.</t>
  </si>
  <si>
    <t>REPORTE DEL CREPAD Y SOCORRO NACIONAL. VEREDA LOS CALLITOS TOLUCA Y EL MAMON.</t>
  </si>
  <si>
    <t>EL CARMEN</t>
  </si>
  <si>
    <t>CORREGIMIENTO GUAMALITO, VEREDAS EL PARAMO, EL LIMONAL, SAN VICENTE, PUEBLO NUEVO, EL LIBANO, PIQUETIERRA, LA CONEJERA.  PENDIETNE INFORMACION POR PARTE DEL CLOPAD Y CREPAD.</t>
  </si>
  <si>
    <t>AFECTADO SECTOR URBANO. REPORTE DEL CREPAD.</t>
  </si>
  <si>
    <t>BARRIOS MORICHAL Y LA RELIQUIA. REPROTE DEL CREPAD.</t>
  </si>
  <si>
    <t>AFECTADA VIA PEREIRA - BELEN DE UMBRIA. REPORTE DEL CREPAD.</t>
  </si>
  <si>
    <t>DESBORDAMIENTO QUEBRADA PUEBLILLO. REPORTE DEL CLOPAD. VEREDA PUEBLILLO.</t>
  </si>
  <si>
    <t>PARQUE LOS FLAMENCOS. REPORTE DE PARQUES NACIONALES Y CREPAD.</t>
  </si>
  <si>
    <t>SE APOYA DE MANERA COMPLEMENTARIA A LOS ESFUERZOS LOCALES Y REGIONALES TENIENDO EN CUENTA LA MAGNITUD DE LA EMERGENCIA</t>
  </si>
  <si>
    <t>SE APOYA TENIENDO EN CUENTA LA MAGNITUD DE LA EMERGENCIA.</t>
  </si>
  <si>
    <t>33303
34013
42058
40999
42442</t>
  </si>
  <si>
    <t>25867
232
266
272
273
286
283
296</t>
  </si>
  <si>
    <t>BARRIO LAS DELICIAS SEGUNDO SECTOR. REPORTE DEL CREPAD.</t>
  </si>
  <si>
    <t>DESBORDAMIENTO ARROYO EL LEON. REPORTE DE LA DEFENSA CIVIL. BARRIO LOS ANGELES SEGUNDA ETAPA.</t>
  </si>
  <si>
    <t>SABANALARGA</t>
  </si>
  <si>
    <t>REPORTE DEL CREPAD. COMUNA TRECE.</t>
  </si>
  <si>
    <t>BARRIOS LAS GRANJAS, EL PRADAO Y SIETE DE ABRIL REPORTE CLOPAD.</t>
  </si>
  <si>
    <t>LOCALIDAD 19 CIUDAD BOLIVAR BARRIO SANTO DOMINGO  CARACOLI. CARRERA 63 SUR NO. 73.</t>
  </si>
  <si>
    <t>SOLEDAD</t>
  </si>
  <si>
    <t>AFECTADO COLEGIO JOHN F KENNEDY.</t>
  </si>
  <si>
    <t>98500
31484</t>
  </si>
  <si>
    <t>DESBORDAMIENTO QUEBRADA LA LAGUNA. VEREDA ROMERO ALTO, Y CENTRO AFUERA.REPORTE DE LA DEFENSA CIVIL.</t>
  </si>
  <si>
    <t>BARRIOS LA CEIBITA Y MODELIA. REPORTE DEL CREPAD.</t>
  </si>
  <si>
    <t>BARRIO LA MANGA. REPORTE DE LA DEFENSA CIVIL. PENDIENTE AFECTACION.</t>
  </si>
  <si>
    <t>DESBORDAMIENTO RIO ARAUCA VEREDA PUERTO CONTRERAS. REPONTE DEL CREPAD. EN EVALUACION. UNA PERSONA DESAPARECIDA POR NAUFRAGIO DE EMBARCACION.</t>
  </si>
  <si>
    <t>CRECIENTE DE ARROYOS.</t>
  </si>
  <si>
    <t>COPACABANA</t>
  </si>
  <si>
    <t>SECTOR EL SALADO</t>
  </si>
  <si>
    <t>SAN JOSE DEL PALMAR</t>
  </si>
  <si>
    <t>BARRANCABERMEJA</t>
  </si>
  <si>
    <t>EL CARMEN SANT ANA, SAN MARTIN Y PABLO SEXTO.</t>
  </si>
  <si>
    <t>VALLE DEL CAUCA</t>
  </si>
  <si>
    <t>OBANDO</t>
  </si>
  <si>
    <t>DESBORDAMENTO QUEBRADA LA GARCIA. BARRIO EL HUECO, SAN  NICOLAS, EL CHISPERO, PLAYA RICA, LA PRIMAVERA.</t>
  </si>
  <si>
    <t>BARRIO EL TEMPLETE, LA FLORESTA Y EL MATADERO.</t>
  </si>
  <si>
    <t>CRECIENTE QUEBRADA EL TRIGAL.BARRIOS LA FRONTERA, TAPETES, EL ROTO, LA CALZADA Y LLANITOS</t>
  </si>
  <si>
    <t>SAN PELAYO</t>
  </si>
  <si>
    <t>VEREDAS LA PROVINCIA, LAURA, SAN ISIDRO, PUERTO NUEVO. REPORTE DE DEFENSA CIVIL.</t>
  </si>
  <si>
    <t>VEREDAS LA ESTANCIA, EL HOYO, LLANO ALTO.</t>
  </si>
  <si>
    <t>REPORTE DE LA DPAE</t>
  </si>
  <si>
    <t>REPORTE DEL CLOPAD.</t>
  </si>
  <si>
    <t>270
271
22659</t>
  </si>
  <si>
    <t>SE APOYA DE MANERA COMPLEMENTARIA A LOS ESFUERZOS LOCAL Y REGIONAL</t>
  </si>
  <si>
    <t>CORINTO</t>
  </si>
  <si>
    <t>CASCO URBANO REPORTE DEL CREPAD.</t>
  </si>
  <si>
    <t>DESBORDAMIENTO ARROYO TURBANA. REPORTE DEL CREPAD.</t>
  </si>
  <si>
    <t>INUNDACION POR FUERTES LLUVIAS. REPORTE DEL CREPAD.</t>
  </si>
  <si>
    <t>DESBORDAMIENTO CANAL DEL DIQUE Y CIENAGAS ALEDAÑAS. REPORTE DEL CREPAD.</t>
  </si>
  <si>
    <t>HATILLO DE LOBA</t>
  </si>
  <si>
    <t>DESBORDAMIENTO QUEBRADA LA CHIQUITA. CORREGIMIENTO LA BUITRERA. REPORTE DEL CREPAD.</t>
  </si>
  <si>
    <t>SEVILLA</t>
  </si>
  <si>
    <t>CORREGIMIENTOS ALTO COLORADO, MANZANILLO, LA CUCHILLA, SAN ANTONIO REPORTE DEL CREPAD.</t>
  </si>
  <si>
    <t>PERDIDA DE CULTIVOS DE BANANO, PLATANO Y CAFÉ</t>
  </si>
  <si>
    <t>DESBORDAMIENTO ARROYO BOSCONIA REPORTE DEL CREPAD.</t>
  </si>
  <si>
    <t>DESBORDAMIENTO RIO MARIANELA, REPORTE DEL CREPAD.</t>
  </si>
  <si>
    <t>LOPEZ DE MICAY</t>
  </si>
  <si>
    <t>DESBORDAMIENTO RIOS JOLI, NAYA, CHUARE ,  AGUACLARA Y MICAY. CORREGIMIENTOS YUCAL, SAN ANTONIO, Y PLAYA GRANDE. REPORTE DEL CREPAD. Y CLOPAD.</t>
  </si>
  <si>
    <t>PERDIDA DE CULTIVOS DE PAPA CHINA, PLATAÑO Y MAIZ</t>
  </si>
  <si>
    <t>DESBORDAMIENTO RIOS CURRULAO Y GUAPALEON. REPORTE DEL CREPAD</t>
  </si>
  <si>
    <t>BARRIOS BENDICION DE DIOS, Y VILLA NUEVA. REPORTE DEL CLOAPD.</t>
  </si>
  <si>
    <t>DESBORDAMIENTO CAÑO MAMON DE LECHE. CORREGIMIENTO BADILLO. REPORTE DEL CLOPAD</t>
  </si>
  <si>
    <t>CORREGIMEINTOS GUAYABAL. SAN JOSE Y BARRIOS LA PLATA, Y JARDIN REPORTE DEL CREPAD.</t>
  </si>
  <si>
    <t>SAN MARTIN DE LOBA</t>
  </si>
  <si>
    <r>
      <t xml:space="preserve">REPORTE DEL CREPAD. </t>
    </r>
    <r>
      <rPr>
        <b/>
        <sz val="9"/>
        <rFont val="Arial"/>
        <family val="2"/>
      </rPr>
      <t>APOYO DEL FNC MEDIANTE GIRO DIRECTO AL CLOPAD PARA COMPRA DE MATERIALES PARA CONSTRUCCION DE ALBERGUES TEMPORALES</t>
    </r>
  </si>
  <si>
    <t>BARRIOS LA LINEA, CINCO DE NOVIEMBRE, EL LIMONAL, LA PIEDRA BOLIVAR, LAS CABRAS, EL OESTE, EL CEIBAL, LA MARIA, CALLE REAL, CHAMBACU, TURBAQUITO, LAS PARCELAS, SUEÑO DE LA LIBERTAD Y LA PEÑA. CORREGIMIENTO GAMBOTE REPORTE DE LA DEFENSA CIVIL</t>
  </si>
  <si>
    <t>DESBORDAMIENTO CANAL DEL DIQUE. SECTOR URBANO BARRIOS ARROYO BAJO, MONTECARLO, PUERTO SANTANDER, EL PORVENIR Y EL SILENCIO. SECTOR RURAL, CORREGIMIENTO CORREA, REPORTE DEL CREPAD.</t>
  </si>
  <si>
    <t>APOYO ALIMENTARIO PARA LAS PERSONAS DE LOS MUNICIPIOS DE SUCRE Y MAJAGUAL DESPLAZADAS POR LAS INUNDACIONES AL MUNICIPIO DE SINCELEJO</t>
  </si>
  <si>
    <t>BARRIO VILLA JIMENEZ EL CERRITO, KM 2 VIA PLANETA RICA, LOS CORRALES, LOS ALPES. SAN NICOLAS VEREDE COROZA. ASUAS LLUVIAS. REPORETE DE LA DEFENSA CIVIL EN ATENCIÓN AL INFORME RENDIDO POR EL COMITÉ LOCAL QUIEN MANIFIESTAN QUE DEBIDO A LA FUERTES LLUVIAS SE PRESENTARON EMERGENCIAS - INUNDACIONES  SECTOR URBANO Y RURAL  DE LA POBLACIÓN EN LOS BARRIOS: (8 )VILLA JIMÉNEZ, LOS NOGALES, NUEVA ESPERANZA, CERRITO, CAMILO TORRES, SABANAL, POBLADO, VILLA PAZ.  PARA UN TOTAL DE 1135 FAMILIAS AFECTADAS. BARRIOS EL CERRO, VILLA FATIMA, VILLA JIMENEZ, ALFONSO LOPEZ, LETICIA Y EL CERRITO.  REPORTE DEL CLOPAD Y CREPAD.</t>
  </si>
  <si>
    <t>20858
21328</t>
  </si>
  <si>
    <t>22208
22705
22764</t>
  </si>
  <si>
    <t>BARRIOS HENEQUEN, LOS COMUNEROS, SAN JOSE DE LOS CAMPANOS, CORREGIMEINTO ARROYO GRANDE. REPROTE DEL CLOPAD.</t>
  </si>
  <si>
    <t>DESLIZAMIENTO POR ACCION DEL RIO EGIDO, VEREDA LA PAILA BARRIO LA MARIA Y CALLE 17. REPORTE DEL CLOPAD</t>
  </si>
  <si>
    <t>SE APOYA CON SACOS DE POLIPROPILENO</t>
  </si>
  <si>
    <t>LORICA/MONTERIA</t>
  </si>
  <si>
    <t>CORREGIMIENTO LA BOQUILLA, SECTOR VILLA GLORIA, REPORTE DEL CLOPAD.</t>
  </si>
  <si>
    <t>SE APOYA DE MANERA GLOBAL AL DEPARTAMENTO</t>
  </si>
  <si>
    <t>SE APOYA CON 200.000 SACOS DE POLIPROPILENO</t>
  </si>
  <si>
    <t>VIA VILLANUEVA LA MONTAÑA, VILLA NUEVA OROSUR, VILLANUEVA EL MORRO, VILLANUEVA LA SELVA, VILLANIEVA - LOS ZANJONES, VILLANUEVA - LA SARITA. REPORTE DEL CREPAD. NO CONCRETAN SOLICITUD FRENTE A REHABILITACION DE VIAS.</t>
  </si>
  <si>
    <t>PERDIDA DE CULTIVOS DE CAFÉ, CACAO, MALANGA, MAIZ, ARRACACHA, Y DOMINICO.</t>
  </si>
  <si>
    <t>DESBORDAMIENTO RIO VILLANUEVA. REPORTE DEL CLOPAD</t>
  </si>
  <si>
    <t>22249
22249
22777</t>
  </si>
  <si>
    <t>DESBORDAMIENTO RIO CAUCA  Y CAÑOS EL SILENCIO, TASCOSO, Y SANTA HELENA. AFECTADA ZONA RIVEREÑA Y BARRIOS LA ESPERANZA, LA VICTORIA, BRISAS DEL CAUCA, PRIMERO DE MAYO, LA PLAYA, LAS VEGAS, PUEBLO NUEVO, EL PRADO, CASTILLO DIVINO NIÑO, LA PAZ, EL POBLADO, SAN RAFAEL, NUEVA ESTRELLA, EL CAMELLO, ASO VIVIENDA Y EN LA ZONA RURAL CORREGIMIENTOS MARGENTO, PALOMAR, LOS MEDIOS, BUENOS AIRES, BARRIO CHINO, PALANCA LA ESMERALDA, LA ILUSION, GOLONDRINAS Y PUERTO ESPAÑA. AFECTADA ZONA RURAL. PENDIENTE INFORMACION.</t>
  </si>
  <si>
    <t>SECTORES SANTIAGO APOSTOL, DOÑA ANA, PUNTA DEBLANCO, GEGUA, GUAYABAL, CIENAGA NUEVA, EL LIMON, LAS CHISPAS, LAS DELICIAS, CUIVAS, AL CAUCHAL, LA CEIBA, MONGUAN, SAN MATIAS, SAN JUAN, PARCELAS DE GUYABAL, GUANACA, CALLE NUEVA, EL CHUPO, LA ISLA, LAS MALVINAS, CAÑO VIEJO, PALO ALTO, LAS POSAS, PARCELAS DE SANTA FE, LA PLAZA, REMOLINO, EL CHOINCHIRRO, CAÑO CAIMAN, VENEZUELA, TOSNOVAN, PASIOJUERE, SAN JOSE DE LAS MELLAS. REPORTE DEL CREPAD.</t>
  </si>
  <si>
    <t>DESBORDAMIENTO RIO CAUCA. ZONA RURAL VEREDAS EL SOCORRO, SAN RAFAEL, LAS MOCHILAS, EL AGUACATE, CHUIRA, LOS ARRASTRES, SAN MATIAS, LOS HUMOS ARRIBA Y ABAJO, LAS PARCELAS, NUEVA ESPERANZA. Y CABECERA MUNICIPAL. . REPORTE DE LA DEFENSA CIVIL  REPORTE DEL CREPAD.</t>
  </si>
  <si>
    <t>FLORENCIA</t>
  </si>
  <si>
    <t>SANTA BARBARA</t>
  </si>
  <si>
    <t>LA PLATA</t>
  </si>
  <si>
    <t>REPORTE DE CLOPAD Y CREPAD.</t>
  </si>
  <si>
    <t>AFECTADA COMUNIDAD DEL CARMELO.. REPORTE DEL CLOPAD Y CREPAD,</t>
  </si>
  <si>
    <t>PACHO</t>
  </si>
  <si>
    <t>VEREDA LA CUESTA. REPROTE DEL CREPAD.</t>
  </si>
  <si>
    <t>BARRIOS ALASKA Y GRANADA. REPORTE DEL CLOPAD.</t>
  </si>
  <si>
    <t>BARRIOS BOSQUES DE GIBRALTAR Y LA MARIELA. REPROTE DEL CREPAD. AFECTACION VIA AL BARRIO LA MARIELA.</t>
  </si>
  <si>
    <r>
      <t xml:space="preserve">REPORTE DEL CREPAD. </t>
    </r>
    <r>
      <rPr>
        <b/>
        <sz val="9"/>
        <rFont val="Arial"/>
        <family val="2"/>
      </rPr>
      <t xml:space="preserve">APOYO DEL FNC MEDIANTE GIRO DIRECTO AL CLOPAD PARA ADQUISICIOJ DE COMBUSTIBLE PARA SIETE MOTOBOMBAS, MANTENIMIENTO DE LAS MISMAS, COMPRA DE COSTALES Y MATERIAL DE RELLENO. </t>
    </r>
  </si>
  <si>
    <t>SALENTO</t>
  </si>
  <si>
    <r>
      <t xml:space="preserve">AFECTADAS VIAS COCORA, CAMINO NACIONAL, CANAAN, BOQUIA, EL ROBLE, EL AGRADO, PALESTINA, LOS PINOS, LLANO GRANDE, SAN JUAN DE CAROLINA. </t>
    </r>
    <r>
      <rPr>
        <b/>
        <sz val="9"/>
        <rFont val="Arial"/>
        <family val="2"/>
      </rPr>
      <t>APOYO DEL FNC MEDIANTE GIRO DIRECTO AL CLOPAD PARA LA COMPRA DE COMBUSTIBLES Y LUBRICANTES PARA LA RECUPERACION DE LA INFRAESTRUCTURA VIAL.</t>
    </r>
  </si>
  <si>
    <t xml:space="preserve">269
270
277
39314
23238
</t>
  </si>
  <si>
    <t>20218
23239</t>
  </si>
  <si>
    <r>
      <t>DESBORDAMIENTO RIO MAGDALENA. REPORTE DE LA DEFENSA CIVIL. ENVIAN CENSO AGROPECUARIO PARA ENVIO A MINAGRICULTURA.</t>
    </r>
    <r>
      <rPr>
        <b/>
        <sz val="9"/>
        <rFont val="Arial"/>
        <family val="2"/>
      </rPr>
      <t xml:space="preserve"> EL VALOR DE OTROS CORRESPONDE A UNA MOTOBOMBA MOTOS DIESEL DE 10"</t>
    </r>
  </si>
  <si>
    <t>DESBORDAMIENTO ARROYO AMANZAGUAPOS. BARRIO ISLA GALLINAZO. REPORTE DE CREPAD. AFECTADO CENTRO DE SALUD DE COVEÑAS, SOLICITAN AYUDA EN REPARACIONES LOCATIVAS, EQUIPOS MEDICOS Y EQUIPOS DE OFICINA Y SE REMITE AL MINISTERIO DE LA PROTECCION SOCIAL.</t>
  </si>
  <si>
    <t>DESBORDAMIENTO QUEBRADA TIBANICA. BARRIOS LA DESPENSA, LOS OLIVOS Y LEON XIII. REPORTE DEL CREPAD Y DEFENSA CIVIL.</t>
  </si>
  <si>
    <t>LOCALIDAD RAFAEL URIBE. BARRIO SAN JORGE Y MARCO FIDEL SUAREZ. REPORTE DE LA DEFENSA CIVIL.</t>
  </si>
  <si>
    <t>CIRCACIA</t>
  </si>
  <si>
    <t>CARRERA13 CALLE 6 REPORTE DEL CREPAD</t>
  </si>
  <si>
    <t>SECTOR EL PESCADOR. REPORTE DEL CREPAD VIA ARMENIA - CALARCA</t>
  </si>
  <si>
    <t>BARRIO VILLA DANIELA. REPORTE DEL CREPAD</t>
  </si>
  <si>
    <t>SECTOR EL MILAGRO DE DIOS REPORTE DEL CLOPAD VIA MIRAFLORES LA UNION</t>
  </si>
  <si>
    <t>ZONA RURAL REPORTE DEL CREPAD</t>
  </si>
  <si>
    <t>DESBORDAMIENTO RIO GRIS. REPORTE DEL CREPAD</t>
  </si>
  <si>
    <t>SAN PEDRO</t>
  </si>
  <si>
    <t>SE APOYA DE MANERA COMPLEMENTARIA DEBIDO A LOS PROBLEMAS Y EL RIESGO QUE PRESENTA EL COLEGIO</t>
  </si>
  <si>
    <t>AFECTADO EL CASO URBANO: LOS ALPES, VEREDA LA GRANJA Y LA VICTORIA. ESCUELA HOYOS</t>
  </si>
  <si>
    <t>BARRIO GUACAMAYAS. REPORTE DE LA DEFENSA CIVIL</t>
  </si>
  <si>
    <t>BARRIO PORVENIR. UN MOTOCICLISTA FALLECIDO. REPORTE DEL CREPAD Y SOCORRO NACIONAL.</t>
  </si>
  <si>
    <t>BARRIOS PORVENIR Y ALTOS DE LA CRUZ EN EVALUACION. FAMILIAS INDIGENAS. REPORTE DE DEFENSA CIVIL.</t>
  </si>
  <si>
    <t>INSPECCION LA SIERRA.</t>
  </si>
  <si>
    <t>LA LLANADA</t>
  </si>
  <si>
    <t>LOCALIDAD 2 CHAPINERO BARRIO LA ESPERANZA</t>
  </si>
  <si>
    <t>BARRIO LOS DUQUES</t>
  </si>
  <si>
    <t>BARRIO CARACOLI DE CIUDAD BOLIVAR. EVACUADAS 10 FAMILIAS POR PELIGRO DE COLAPSO DE MURO POR FUERTES LLUVIAS.</t>
  </si>
  <si>
    <t>LA UNION</t>
  </si>
  <si>
    <t>MONTECRISTO</t>
  </si>
  <si>
    <t>BELLO</t>
  </si>
  <si>
    <t>SAN ANTERO</t>
  </si>
  <si>
    <t>DESBORDAMIENTO CAÑO LOS LOBOS. REPORTE DE LA DEFENSA CIVL.</t>
  </si>
  <si>
    <t>DESBORDAMIENTO RIO MARACAS. REPORTE DE LA CRUZ ROJA.</t>
  </si>
  <si>
    <t>SE APOYA TENIENDO EN CUENTA LA IMPORTANCIA DE LA OBRA PARA LA REGION</t>
  </si>
  <si>
    <t>COLAPSO POR COLMATACION DE ALCANTARILLADO</t>
  </si>
  <si>
    <t>EL AGUILA</t>
  </si>
  <si>
    <t>AFECTADA VIA EL AGUILA AL CORREGIMIENTO DE VILLANUEVA. CORREGIMIENTO VILLANUEVA</t>
  </si>
  <si>
    <t>PEINILLA</t>
  </si>
  <si>
    <t>PLATO HONDO</t>
  </si>
  <si>
    <t>PLATO PANDO</t>
  </si>
  <si>
    <t>PURACE</t>
  </si>
  <si>
    <t>SIMIJACA</t>
  </si>
  <si>
    <t>MAICAO</t>
  </si>
  <si>
    <t>SANTA ROSA DE VITERBO</t>
  </si>
  <si>
    <t>CAIMITO</t>
  </si>
  <si>
    <t>SAN BENITO ABAD</t>
  </si>
  <si>
    <t>EROSION</t>
  </si>
  <si>
    <t>BUGALAGRANDE</t>
  </si>
  <si>
    <t>CASUCA. REPORTE DEL CREPAD.</t>
  </si>
  <si>
    <t>COYAIMA</t>
  </si>
  <si>
    <t>DESBORDAMIENTO CAÑO MASATO BARRIO LAS BRISAS. REPORTE DE LA DEFENSA CIVIL.</t>
  </si>
  <si>
    <t>PUERTO NARE</t>
  </si>
  <si>
    <t>REPORTE DEL CREPAD PRELIMINAR.</t>
  </si>
  <si>
    <t>BARBACOAS</t>
  </si>
  <si>
    <t>PERDIDA DE ENSERES Y CULTIVOS DE ARROZ</t>
  </si>
  <si>
    <t>CORREGIMIENTO BADILLO. DESBORDAMIENTO RIO BADILLOY Y SUS AFLUENTES. REPORTE DEL CLOPAD.</t>
  </si>
  <si>
    <t>INUNDACION POR FUERTES LLUVIAS. CORREGIMIENTO QUINAMAYO, SECTORES EL AVISPAL Y BAHIA AMARILLA.  REPORTE DEL CREPAD.</t>
  </si>
  <si>
    <t>SECTOR BOSA BARRIOS LOS NARANJOS, LOS LAURELES, SAN JOSE, CARBONEL, LOS OLIVOS .</t>
  </si>
  <si>
    <t>UBAQUE</t>
  </si>
  <si>
    <t>BARRIO SOTAVENTO. POTOSI.  REPORTE DE DEFENSA CIVIL</t>
  </si>
  <si>
    <t>VEREDA EL PLACER, TOPACIO, LEONORA, TORRE 6 Y AGUILA. REPORTE DEL CREPAD</t>
  </si>
  <si>
    <t>VILLARICA</t>
  </si>
  <si>
    <t>LOCALIDAD 19 CIUDAD BOLIVAR</t>
  </si>
  <si>
    <t>VENDAVAL EN REPRESA DE BETANIA, AFECTADO SECTOR PESQUERO, JAULAS CRIADERO DE PECES, MOTONAVES Y BODEGAS. SITUACION CONTROLADA. REPORTE DEL CREPAD.</t>
  </si>
  <si>
    <t>BRICEÑO</t>
  </si>
  <si>
    <t>BARRIO SANTA ANA. REPORTE DEL CREPAD.</t>
  </si>
  <si>
    <t>VEREDA LA QUIEBRA. REPORTE DEL CREPAD.</t>
  </si>
  <si>
    <t xml:space="preserve">VEREDAS LA CABAÑA, BUENAVISTA Y EL BRILLANTE. AFECTADA ESCUELA BUENAVISTA Y EL COLEGIO ALTO CAUCA. REPORTE DE LA DEFENSA CIVIL. </t>
  </si>
  <si>
    <t>ANGOSTURA</t>
  </si>
  <si>
    <t>BESLIZAMIENTO BARRIO OBRARO.</t>
  </si>
  <si>
    <t>REPORTE TELEFONICO DEL CREPAD.</t>
  </si>
  <si>
    <t>SE APOYA TENIENDO EN CUENTA LA MAGNITUD DE LA EMERGENCIA EN EL  DEPARTAMENTO</t>
  </si>
  <si>
    <t>APOYO CON 50000 SACOS DE POLIPROPILENO</t>
  </si>
  <si>
    <t>BARRIO SANTA ROSA DE LIMA. REPORTE DE LA DPAE</t>
  </si>
  <si>
    <t>SABANA DE TORRES</t>
  </si>
  <si>
    <t>DESBORDAMIENTO QUEBRADA LA OCA. VEREDA TOSNOBAN, QUINIENTOSCINCO, LA OCTAVA, CAÑO LA TERCERA, CORREGIMIENTOS DE BUENOS AIRES Y EL PATO. REPORTE DEL CREPAD.</t>
  </si>
  <si>
    <t>CORREGIMIENTO ZARAGOZA, REPORTE EDL CREPAD.</t>
  </si>
  <si>
    <t>BARRIO EL PARAISO, SECTOR LAS COCAS. REPORTE DEL CREPAD</t>
  </si>
  <si>
    <t>SONSON</t>
  </si>
  <si>
    <t>LA CALERA</t>
  </si>
  <si>
    <t>VALLEDUPAR</t>
  </si>
  <si>
    <t>PENDIENTE INFORMACION</t>
  </si>
  <si>
    <t>DESBORDAMIENTO ASEQUIA SECTOR DE LAS CASITAS.</t>
  </si>
  <si>
    <t>DESBORDAMIENTO CAÑO LA AHUYAMA. BARRIOS LA PRADERA, LOS ANGELES, LA PLAYA, LA CRUZ CHINA, Y PINAR DEL RIO Y EL GOLFO. REPORTE DEL CLOPAD</t>
  </si>
  <si>
    <t>SECTOR URBANO BARRIOS JUAN 23, POLICARPA, GENEQUEN, CARACOLI Y CORREGIMIENTO DE APURE. DESBPORDAMIENTO ARROYO CAMARGO. REPORTE DEL CREPAD.</t>
  </si>
  <si>
    <t>NEIVA</t>
  </si>
  <si>
    <t>CRECIENTE SUBITA DE LA QUEBRADA SAN JOSE. VEREDAS PIEDRAS NEGRAS, SECTOR PUERTO BOGOTA. REPORTE DEL CREPAD.</t>
  </si>
  <si>
    <t>BARRIO COLINAS, REPORTE DE LA DPAE</t>
  </si>
  <si>
    <t>BECERRIL</t>
  </si>
  <si>
    <t>GUARANDA</t>
  </si>
  <si>
    <t>VEREDA EL SOCORRO. ROMPIMIENTO DE BARRERAS DE CONTENCION MARGEN IZQUIERDA RIO CAUCA. REPORTE DE LA CRUZ ROJA.</t>
  </si>
  <si>
    <t>PERDIDA DE CULTIVOS DE ARROZ</t>
  </si>
  <si>
    <t>ARJONA</t>
  </si>
  <si>
    <t>DESBORDAMIENTO CAÑO LIMETA AFECTADAS VEREDAS SAN ISIDRO, VERDE, MATA LARGA Y EL BANCO REPORTE DE LA DEFENSA CIVIL</t>
  </si>
  <si>
    <t>REPORTE DE LA DEFENSA CIVIL VEREDAS LA HOYA, LA ENFADOSA Y TARRAPUJA.</t>
  </si>
  <si>
    <t>AMAZONAS</t>
  </si>
  <si>
    <t>LETICIA</t>
  </si>
  <si>
    <t>FINCA EL MUELLE. REPORTE DEL CREPAD</t>
  </si>
  <si>
    <t>BARRIOS LA FLORIDA Y EL LAGUITO. FUERTES LLUVIAS. REPORTE DE DEFENSA CIVIL.</t>
  </si>
  <si>
    <t>MONTENEGRO</t>
  </si>
  <si>
    <t>BARRIOS VILLA MARLY, SANTA HELENA, PARQUEADERO GORETI, JESUS MAESTRE, BALANTRERA, RAMIREZ FRANCO, ISABELA, MARCONI. REPORTE DEL CREPAD.</t>
  </si>
  <si>
    <t>CAIDA DE ARBOLES, AFECTADOS KIOSCOS DE3 ESPENDIO DE DULCES.</t>
  </si>
  <si>
    <t>FECHA RECIBO</t>
  </si>
  <si>
    <t>HECTAREAS</t>
  </si>
  <si>
    <t>-</t>
  </si>
  <si>
    <t>GIRO DIRECTO</t>
  </si>
  <si>
    <t>APOYOS EN TRAMITE</t>
  </si>
  <si>
    <t>GRANIZADA</t>
  </si>
  <si>
    <t>MATERIALES CONSTRUCCION</t>
  </si>
  <si>
    <t>Total general</t>
  </si>
  <si>
    <t xml:space="preserve"> A F E C T A C I Ó N</t>
  </si>
  <si>
    <t>VIV.DESTRU.</t>
  </si>
  <si>
    <t>VIV.AVER.</t>
  </si>
  <si>
    <t>.</t>
  </si>
  <si>
    <t>HERIDOS</t>
  </si>
  <si>
    <t>DESAPA.</t>
  </si>
  <si>
    <t>PTES.VEHIC.</t>
  </si>
  <si>
    <t>PTES.PEAT.</t>
  </si>
  <si>
    <t>NUMERO DE RADICADO</t>
  </si>
  <si>
    <t>NUMERO DE MEMORANDO / OFICIO</t>
  </si>
  <si>
    <t>CAPARRAPI</t>
  </si>
  <si>
    <t>GUAMO</t>
  </si>
  <si>
    <t>AMAGA</t>
  </si>
  <si>
    <t>LA APARTADA</t>
  </si>
  <si>
    <t>BARRIOS VILLA VICTORIA, TIERRA SANTA, 24 DE NOVIEMBRE, DIVINO NIÑO, EL ORIENTE, SAN MATEO, MONTELIBANO Y EL RETORNO. INUNDACION POR AGUAS LLUVIAS.</t>
  </si>
  <si>
    <t>MONTELIBANO</t>
  </si>
  <si>
    <r>
      <t xml:space="preserve">INUNDACION POR FUERTES LLUVIAS  DIEZ BARRIOS AFECTADOS. REPORTE DEL CREPAD. </t>
    </r>
    <r>
      <rPr>
        <b/>
        <sz val="9"/>
        <rFont val="Arial"/>
        <family val="2"/>
      </rPr>
      <t>APOYO DEL FNC MEDIANTE GIRO DIRECTO AL CLOPAD PARA APOYAR LA REHABILITACION DE LAS VIAS A VILLA DEL RIO Y FILANDIA POR VALOR TOTAL DE $194,373,600.</t>
    </r>
  </si>
  <si>
    <t>97899
98301</t>
  </si>
  <si>
    <t>CAIDA DE ARBOLES</t>
  </si>
  <si>
    <t>CALDONO</t>
  </si>
  <si>
    <t>REPORTE DEL CREPAD</t>
  </si>
  <si>
    <t>VEREDAS EL PLACER, EL PLAN, LA ESPERANZA, LA PICOLA, TORRE 6, EL AGUILA,ANGULO VEL TULCAN Y EL ARENILLO. BARRIOS, SANTANDER, PASTRANA, CALLE REAL, GALERIAS, SAN VICENTE, AVENIDA EL CABLE, LA PLAZUELA, EL TEJAR. REPORTE DE LA SALA DE RADIO DEL CREPAD.</t>
  </si>
  <si>
    <t>CALDAS</t>
  </si>
  <si>
    <t>FUERTES LLUVIAS. REPORTE DEL CREPAD APOYO DEL FNC CON MATERIALES PARA RECONSTRUCCION DE VIVIENDAS: 600 TEJAS DE ZINC, 2000 AMARRES, 200 BULTOS DE CEMENTO, 120 TUBOS, 100 VARILLAS CORRUGADAS.</t>
  </si>
  <si>
    <t>INUNDACION POR FUERTES LLUVIAS. BARRIOS EL TRIUNFO, CENTRO, PUEBLO NUEVO, LA CALLEJA, ALFONSO LOPEZ, COLINAS DEL ZULIA, LA MILAGROSA, ASOAVIS, REPORTE DEL CREPAD, APOYO DEL FNC MEDIANTE SUMINISTRO DE MATERIALES PARA RECONSTRUCCION DE VIVIENDAS: 400 TEJAS, 500 BULTOS DE CEMENTO, 75 MALLAS DEGAVION, 3000 BLOQUES.</t>
  </si>
  <si>
    <t>24654
25056</t>
  </si>
  <si>
    <t xml:space="preserve">ENDIETNE AFECTACION REPORTE DEL CREPAD.APOYO CON MATERIALES DE CONSTRUCCION PARA LA REPARACION DE VIVIENDAS: 620 TEJAS DE ZINC, 2500 AMARRES Y 6 ROLLOS DE ALAMBRE DE PUA. </t>
  </si>
  <si>
    <t>DESBORDAMIENTO DE LA CIÉNAGA GRANDE Y RIO SINU. COMO QUIERA QUE EL MUNICIPIO DE CHIMA SE ENCUENTRA UBICADO A ORILLA DE LA CIÉNAGA GRANDE, DEL CAÑO DE AGUAS PRIETAS Y RODEADO DE NUMEROSOS ARROYOS SE ENCUENTRA AFECTADO, SE OCASIONARON INUNDACIONES A LA POBLACIÓN  EN LOS CORREGIMIENTOS DE PIMENTAL, PUNTA VERDE, CAROLINA, COROZALITO, BOCA CATABRE, ARACHE, SITIO VIEJO, BARRIOS LA GRANJA, SANTO DOMINGO, CALLE LA CRUZ, LAS FLORES, CALLE DEL COMERCIO, CALLE LA PUNTA, LA CAMPANERA, 20 DE JULIO, MALEBA.</t>
  </si>
  <si>
    <t>FLORIDABLANCA</t>
  </si>
  <si>
    <t>SECTORES LA PLANADA, EL PLACER, SAN ANTONIO, LA AGUADA, PALMAR, PUERTO BOYACA, ESPERANZA, JUNIN, LA SIERRITA, EL CORZO, LAS BRISAS, LA HONDA. PENDIENTE INFORMACION. REPORTE DEL CREPAD. ALCALDE CESAR SANCHEZ.</t>
  </si>
  <si>
    <r>
      <t xml:space="preserve">VEREDA LA SALADA, VEREDA LA LINDA, SANTA GERTRUDIZ, LA ARBOLEDA. VERDUN Y CASCO URBANO. </t>
    </r>
    <r>
      <rPr>
        <b/>
        <sz val="9"/>
        <rFont val="Arial"/>
        <family val="2"/>
      </rPr>
      <t>APOYO DEL FNC MEDIANTE GIRO DIRECTO AL CLOPAD PARA LA REMOCION DE DERRUMBES  Y RECONFORMACION DE LA BANCA ($45,341,395 LINEA 2), , EXPLOSION DE ROCA DE DERRUMBE (833,910 LINEA 2) Y BANCO DE MATERIALES PARA EL MEJORAMIENTO DE VIVIENDA ($21,675,628 LINEA 8).</t>
    </r>
  </si>
  <si>
    <t>COLEGIOS PUERTO RICO Y EL DIVISO. POBLACIONES CERCANAS AL RIO SAN JUAN DEL MICAY.</t>
  </si>
  <si>
    <t>194
224</t>
  </si>
  <si>
    <t>CALARCA</t>
  </si>
  <si>
    <t>VIA LA LINEA KM 20. SITIO EL OASIS.TRES VEHICULOS ATRAPADOS.  REPROTE DEL CREPAD</t>
  </si>
  <si>
    <t>DESBORDAMIENTO RIO GUAGUATI EN LA INSPECCION DE PUERTO ROMERO. REPORTE DEL CREPAD.</t>
  </si>
  <si>
    <t>DESBORDAMIENTO QUEBRADA SANTA ROSA. SECTOR ALTO SIMACOTA. AFECTADO CENTRO TURISTICA SIMACOTA.  REPORTE DEL CREPAD.</t>
  </si>
  <si>
    <t xml:space="preserve">TAPONAMIENTO DE ALCANTARILLAS. 18 BARRIOS INUNDADOS DEL CASCO URBANO Y CORREGIMIENTO DE PARAGUACHON. . SEIS COMUNIDADES INDIGENAS. REPORTE DEL CREPAD. Y CRUZ ROJA. </t>
  </si>
  <si>
    <t>SANTAFE DE ANTIOQUIA</t>
  </si>
  <si>
    <t>INUNDACION POR FUERTES LLUVIAS KM 2 VIA CAÑASGORDAS.  REPORTE DEL CREPAD.</t>
  </si>
  <si>
    <t>PUERTO TRIUNFO</t>
  </si>
  <si>
    <t>INUNDACION POR LLUVIAS Y REBOSE DE CAÑOS CORREGIMIENTO DORADAL. REPORTE DEL CREPAD.</t>
  </si>
  <si>
    <t>202
227</t>
  </si>
  <si>
    <t>TIERRALTA</t>
  </si>
  <si>
    <t>CERETE</t>
  </si>
  <si>
    <t>CORREGIMEINTO SAN PABLO, VEREDAS PIEDRAMOLER Y LAS PEÑAS, EL TREN . REPORTE DEL CREPAD.</t>
  </si>
  <si>
    <t>COMUNIDADES INDIGENAS PARRANTIAL Y PUERTA DEL SOL. DESBORDAMIENTO RIO PARRANTIAL, CARRAIPIA. REPORTE DEL SOCORRO NACIONAL.</t>
  </si>
  <si>
    <t>DESBORDAMENTO QUEBRADA MENDOZA BARRIOS CARMEN, GABRIEL, BLANCA MARTINEZ.VEEDA LA NOVEDAD, PALMARITO, POTRERO GRANDE, LOS SANJONES, FINCA PENJAMO,  FINCA EL RECREO, FINCA VILLA CLARA, FINCA EL ROSAL,  REPORTE DE LA DEFENSA CIVI Y EDL CREPAD.</t>
  </si>
  <si>
    <t>BARRIO CRISTO REY SECTOR URBA|NO Y SECTOR RURAL SITIO NUEVO, EL HATICO, EL CONFUSO</t>
  </si>
  <si>
    <t>VERSALLES</t>
  </si>
  <si>
    <t>158
182
216</t>
  </si>
  <si>
    <t>DESBORDAMIENTO RIO MURRI. REPORTE DEL CREPAD.</t>
  </si>
  <si>
    <t>BARRIO EL AGUACATE. REPORTE DE LA DEFENSA CIVIL.</t>
  </si>
  <si>
    <t>DESBORDAMIENTO CAÑOS SECO Y PALITOS. BARRIOS CENTRO, PUEBLO NUEVO, LA CEIBA, EL LIBERTADOR. PENDIENTE AFECTACION.</t>
  </si>
  <si>
    <t>BARIOS LAS AMERICAS, LA AMANDA, CARRIZAL, LA PLAYA, SANTODOMINGO, SIETE DE ABRIL. REPORTE DEL CLOPAD.</t>
  </si>
  <si>
    <t>TEORAMA</t>
  </si>
  <si>
    <t>HACARI</t>
  </si>
  <si>
    <t>DESBORDAMIENTO QUEBRADA AGUABLANCA VEREDA LAS JUNTAS Y AGUABLANCA. REPORTE DEL CREPAD.</t>
  </si>
  <si>
    <t>CRECIENTE SUBITA DE ARROYOS, BARRIOS CENTRO Y VALLADOLID ZONA RURAL PITURUMANA, MATITAS..</t>
  </si>
  <si>
    <t>RIOHACHA</t>
  </si>
  <si>
    <t>ZONAS DE CUCURUMANA Y MATITAS. REPORTE DEL CREPAD.</t>
  </si>
  <si>
    <t>REGIDOR</t>
  </si>
  <si>
    <t>SIMITI</t>
  </si>
  <si>
    <t xml:space="preserve">BARRIOS LA TRINIDAD, LOS OLIVOS, BELENCITO, GARCIA ECHEVERRY, PALMERAS, LA CUMBRE, SANTA ANA, VILLA HELENA SUR, VILLA CAROLINA, SANTA INES, ASENTAMIENTOS DE LA CUMBRE, EL REPOSO, ZAPAMANGA, LA CASTELLANA, LAURELES BAJO, VEREDAS LOS CAUHCOS,  GUAYANA, ALZACIA MALABAR, CASIANO, VERICUTE, HELECHALES, LA JUDÍA, RUITOQUE BAJO, SAN IGNACIO, ALTOS DE MANTILLA, SANTA BARBARA. </t>
  </si>
  <si>
    <t>DESBORDAMIENTO RIO MAGDALENA.Y QUEBRADA CHIMICUICA, COROZAL Y LA MOCHA. CORREGIMIENTOS SAN FERNANDO Y JABARA. REPORTE DE LA DEFENSA CIVIL</t>
  </si>
  <si>
    <t>ISLA PENSILVANIA, ISLA ROSA MARIA, VEREDA CARMONA, VEREDA SAN ANTONIO , VILLA CLARIN KM 2, KM7, LA PLAYITA, CAÑO VALLE, RODEO, ZARCITA, ISLA SAN JOSE. DESBORDAMIENTO RIO MAGDALENA, CAÑO AGUAS NEGRAS Y CLARIN.</t>
  </si>
  <si>
    <t>CABECERA MUNICIPAL Y CORREGIMIENTOS CAPUCHO, PUNTA DE PIEDRAS, PIEDRA DE MOLER, PIEDRAS PINTADAS, CAÑO DE AGUA, CERRITOS Y BONGO. DESBORDAMIENTO R IO MAGDALENA</t>
  </si>
  <si>
    <t>CABECERA MUNICIPAL Y CORREGIMIENTOS AVIANCA, VEREDAS LA BODEGA Y LOS GENIOS Y PIÑUELA. CRECIENTE DEL RIO FUNDACION Y VENDAVALES.</t>
  </si>
  <si>
    <t>ROMPIMIENTO DE DIQUE SECTORES PINTO VIEJO, BARRO BLANCO. REPORTE DEL CREPAD.</t>
  </si>
  <si>
    <t>CABECERA MUNICIPAL Y DIFERENTES CORREGIMIENTOS: EL CERRITO, SAN FELIPE, LA CURVA, BELEN, AGUAESTRADA, LOS NEGRITOS, ALGARROBAL, BARRANCO DE CHILLOA, CAÑO DE PALMA FLORIDA, . DESBORDAMIENTO RIO MAGDALENA.</t>
  </si>
  <si>
    <t>CABECERA MUNICIPAL CORREGIMEINTOS DE CABRERA Y FILADELFIA. REPROTE DEL CREPAD.</t>
  </si>
  <si>
    <t>CABECERA MUNICIPAL, CORREGIMIENTOS EL TRONCOSO, COCO, SAN RAFAEL, LA PANCHA, TRONCOSITO Y LOS GALVIS. REPORTE DEL CREPAD.</t>
  </si>
  <si>
    <r>
      <t>CABECERA MUNICIPAL Y CORREGIMIENTOS PALMIRA, TASAJERA E ISLA DEL ROSARIO. DESBORDAMIENTO RIO ARACATACA. VEREDA LA ISLA REPORTE DEL CLOPAD.</t>
    </r>
    <r>
      <rPr>
        <b/>
        <sz val="9"/>
        <rFont val="Arial"/>
        <family val="2"/>
      </rPr>
      <t>APOYO DEL FNC MEDIANTE GIRO DIRECTO AL CLOPAD PARA LA CONSTRUCCION DE PISOS DE MADERA EN EL CORREGIMIENTO DE PALMIRA, Y LA CONSTRUCCION DE TAMBOS.</t>
    </r>
  </si>
  <si>
    <t>BARRIOS LAS TABLITAS, ARIGUANI, CHIMILA, MAGDALENA, PAZ DEL RIO, BRISAS DEL RIO, SAN CARLOS, LA ESMERALDA, LA ESPERANZA, EL PROGRESO, DIVINO NIÑO, 16 DE JULIO, HAWAI, GIMNASIO, 23 DE FEBRERO, SAN BERNARDO Y SAN FERNANDO. REPORTE DEL CREPAD.</t>
  </si>
  <si>
    <t>DESBORDAMIENTO RIO ARACATACA, BARRIOS SIETE DE AGOSTO, 20 DE JULIO, LOMA FRESCA, LA CASITA Y VILLA DEL RIO 1 y 2 VAYANVIENDO YUCURA, SUICHE, LA ESPERANZA, SACAPITAS, TEOROMINA, EL TIGRE, EL CARMEN, DOS DE FEBRERO. CORREGENIENTOS BUENOS AIRES. EL RUBI, SANPUECITO, VILLA MARIA,  Y SANPUES. REPORTE DE LA DEFENSA CIVIL.</t>
  </si>
  <si>
    <t>CRECIENTE SUBITA DEL RIO FRIO. CORREGIMIENTOS DE GUACAMAYAL, SEVILLA Y CASERIO CARITAL.  VEREDAS EL PUYO, EL MAMON, LA BARCA, LA ESTACION, PRADITO, 116 DE JULIO, LA BALSA, MACONDO, CAÑO MOCHO. REPORTE DEL CREPAD Y DEFENSA CIVIL.- DESBORDAMIENTO RIO MANZANARES. BARRIOS FUNDADORES, SIMON BOLIVAR, GALAN, Y BASTIDAS. REPORTE DEL CLOPAD, CREPAD Y DEFENSA CIVIL</t>
  </si>
  <si>
    <t>CABECERA MUNICIPAL CORREGIMIENTO SAN SEBASTIAN DEL BONGO. Y VEREDAS PUNTO FIJO, BONGO, HONDURAS, PARATE BIEN Y LA COLOMBIA</t>
  </si>
  <si>
    <t>SABANAS DE SAN ANGEL</t>
  </si>
  <si>
    <t>AFECTACION EN CORREGIMIENTOPS DE SAN ROQUE, CESPEDES, FLORES DE AMRIA, MONTRUBIO. REPORTE DEL CREPAD.</t>
  </si>
  <si>
    <t>DESBORDAMEITNO QUEBRADA LA CHINIHUICA. CORREGIMIENTO LA CHINA. EN EVALUACION DE LA SITUACION REPORTE DE LA DEFENSA CIVIL.</t>
  </si>
  <si>
    <t>AFECTACION EN TODO EL MUNICIPIO. REPORTE DEL CREPAD.</t>
  </si>
  <si>
    <t>SE APOYA TWEMIENDO EN CUETNA LA MAGNITUD DE LA EMERGENCIA</t>
  </si>
  <si>
    <t>DESBORDAMIENTO RIO CAUCA. SECTOR PUNTABRAVA, REPORTE DEL CREPAD. AFECTACION VIAS EL DORADO - MUÑECOS, CALIMITA - EL JARDIN, PLAS DE LAS VACAS - EL JARDIN, JIGUALES EL JARDIN - PALO NEGRO, JARDIN - CANEY - LA COLONIA - SAN JUAN ALTO, MIRAVALLE - LA RIVIERA - EL BOSQUE, IRAVALLE - RAYITO - LA NEGRA, MIRAVALLE - EL DELIRIO, MEDIACANOAS - LAS DELICIAS MEDIACANOA - LOS CHORROS.</t>
  </si>
  <si>
    <t>DESBORDAMIENTO RIO MAGDALENA POR RUPTURA DEL DIQUE. CORREGIMEINTOS BODEGA CENTRAL Y LA VEREDA EL ROBLE. REPORTE DEL CREPAD. SE ENVIA SOLICITUD COMPLEMENTARIA D EAPOYO AL CREPAD.</t>
  </si>
  <si>
    <t>ZAPAYAN</t>
  </si>
  <si>
    <t>EL PIÑON</t>
  </si>
  <si>
    <t>PIVIJAY</t>
  </si>
  <si>
    <t>SANTA BARBARA DE PINTO</t>
  </si>
  <si>
    <t xml:space="preserve">CABECERA MUNICIPAL, CORREGIMIENTOS DE CARRETAL, SAN PEDRO Y VELADERO. </t>
  </si>
  <si>
    <t>PIJIÑO DEL CARMEN</t>
  </si>
  <si>
    <t>CERRO DE SAN ANTONIO</t>
  </si>
  <si>
    <t>TENERIFE</t>
  </si>
  <si>
    <t>PUEBLO VIEJO</t>
  </si>
  <si>
    <t>EL RETEN</t>
  </si>
  <si>
    <t>GUAMAL</t>
  </si>
  <si>
    <t>PEDRAZA</t>
  </si>
  <si>
    <t>221
224
238</t>
  </si>
  <si>
    <t>REPORTE DEL CLOPAD Y CREPAD</t>
  </si>
  <si>
    <t>CIENAGA</t>
  </si>
  <si>
    <t>MAICAO/VILLANUEVA/URIBIA/FONSECA/ALBANIA/RIOHACHA</t>
  </si>
  <si>
    <t>SE APOYA TENIENDO EN CUENTA LA SITUACION DEL DEPARTAMENTO</t>
  </si>
  <si>
    <t>APOYO GLOBAL PARA LOS SEIS MUNICIPIOS.</t>
  </si>
  <si>
    <t>GALAN</t>
  </si>
  <si>
    <t>PALMAS DEL SOCORRO</t>
  </si>
  <si>
    <t>SECTOR DE CALLEJAS, VEREDAS TWIS TWIS, EL BANQUITO, NUEVO CALI, MAZAMORRA, REPORTE DE LA DEFENSA CIVIL.</t>
  </si>
  <si>
    <t>BARRIO NUEVO. REPORTE DEL CREPAD.</t>
  </si>
  <si>
    <t>FUERTES LLUVIAS BARRIO SIETE DE AGOSTO, SANTANDER, CENTRO, LA POPA, LAS COLINAS, EL VERGEL, PUEBLO NUEVO. PENDIENTE AFECTACION.</t>
  </si>
  <si>
    <t>REPORTE DE MINPROTECION SOCICIAL.</t>
  </si>
  <si>
    <t>MOCOA</t>
  </si>
  <si>
    <t>ZONA URBANA Y VEREDA CONDAGUA. REPORTE DE LA DEFENSA CIVIL.</t>
  </si>
  <si>
    <t>URRAO</t>
  </si>
  <si>
    <t>REPORTE DEL CREPAD. ZONA RURAL.</t>
  </si>
  <si>
    <t>PERDIDA E ANIMALES</t>
  </si>
  <si>
    <t>REPROTE DEL CREPAD.</t>
  </si>
  <si>
    <t>NORTE DE CARTAGENA VIA A BARRANQUILLA. BARRIOS FREDONIA, PALMERAS OLAYA, SECTOR LA MAGDALENA. DESBORDAMIENTO CAÑO FREDONIA.  REPORTE DEL CLOPAD</t>
  </si>
  <si>
    <t>DESBORDAMIETNO ARROYO CATAMALA. BARRIO LOS PARTIOS. REPORTE DE LA DEFENSA CIVIL.</t>
  </si>
  <si>
    <t>PIZARRO</t>
  </si>
  <si>
    <t>CRECIENTE SUBITA RIO BAUDO SECTOR PLAYA DE LOS MICOS. REPORTE DE LA DEFENSA CIVIL.</t>
  </si>
  <si>
    <t>213
231
246</t>
  </si>
  <si>
    <r>
      <t xml:space="preserve">DEBORDAMIENTO QUEBRADA MARIA RAMOS.. CUATRO  BARRIOS. REPORTE DEL CREPAD. </t>
    </r>
    <r>
      <rPr>
        <b/>
        <sz val="9"/>
        <rFont val="Arial"/>
        <family val="2"/>
      </rPr>
      <t>EL VALOR DE OTROS COPRRESPONDE A MOTOBOMBA DE 10 PULGADAS MONTADA SOBRE TRAILER</t>
    </r>
  </si>
  <si>
    <t>233
232
249</t>
  </si>
  <si>
    <t>DESBORDAMIENTO DE ARROYOS. REPORTE DE CRUZ ROJA.</t>
  </si>
  <si>
    <t>CARMEN DE ATRATO</t>
  </si>
  <si>
    <t xml:space="preserve">AVALANCHA RIO LA ANASTASIA Y RIO ARGELIA. </t>
  </si>
  <si>
    <t>SE TRATA DE UN DESLIZAMIENTO PUNTUAL EN LA VIAS</t>
  </si>
  <si>
    <t>VIA SAN BERNAR DE BATA - SAN LUIS CHUCARIMA.. REPORTE DEL CLOPAD Y CREPAD.</t>
  </si>
  <si>
    <t>BARRIOS EL PARAISO, SAN PEDRO, EL RECREO, VILLA LAYDY, EL TALON, LA LINEA Y URBANIZACION SANTA CATLINA. REPORTE DE LA DEFENSA CIVIL.</t>
  </si>
  <si>
    <t>SECTOR SAN JUAN A SEIS KM DE LA UNION.REPORTE DEL CREPAD.</t>
  </si>
  <si>
    <t>CRECIENTE SUBITA RIO MUNGUIDO, REPORTE DEL CLOPAD.</t>
  </si>
  <si>
    <t>FUERTES LLUVIAS. BARRIOS GALILEA, LA VICTORIA, EL PARAISO, LAURELES, LA FLORESTA. REPORTE DE LA DEFENSA CIVIL.</t>
  </si>
  <si>
    <t>DESBORDAMIENTO CAÑOS LA CUERERA, CAÑO MAIZAROI, RIO OCOA. BARRIOS LA RELIQUIA, RECE DE MAYO, JUAN PABLO SEGUNDO Y LA CECILIA. REPORTE DE DEFENSA CIVIL Y CREPAD</t>
  </si>
  <si>
    <t>CRECIENTE ARROYOS JAGUEY, HEBILLA, SAN ANTONIO Y PRIMERO DE DICIEMBRE, BARRIOS PRIMERO DE DICIEMBRE, KENNEDY, SIETE DE AGOSTO, ISABEL CRISTINA, EVARISTO SOURDIS, SAN JOSE, VILLAVICENCION Y CORREGIMIENTO DE COLOMBISA. REPORTE DE DEFENSA CIVIL</t>
  </si>
  <si>
    <t>CORREGIMIENTO SAN LUIS Y SECTOR URBANO. REPROTE DEL CREPAD.</t>
  </si>
  <si>
    <t>DG 49 B SUR NO. 16B 16. FOPAE</t>
  </si>
  <si>
    <t>SECTOR URBANO. REPORTE DEL REPAD.</t>
  </si>
  <si>
    <t>VEREDA DOÑA ANA. REPROTE DEL CREPAD.</t>
  </si>
  <si>
    <t>VEREDA SABANA. FINCA EL MANGO. REPORTE DELC REPAD.</t>
  </si>
  <si>
    <t>DESBORDAMIENTO RIO LEBRIJA A LA ALTURA DEL SITIO PUENTE ARTURO. REPROTE DEL CREPAD.</t>
  </si>
  <si>
    <t>QUEBRADA LA CABUYA. BARRIO OBRERO, REPROTE DEL CREPAD.</t>
  </si>
  <si>
    <t>CRECIENTE RIO CAUCA. VEREDA SAN FRANCISCO, SECTOR PASO DE LOS TUERTOS. REPORTE DEL CREPAD.</t>
  </si>
  <si>
    <t>DESBORDAMIENTO QUEBRADA TASCARENA, SECTOR LA GARITA, REPORTE DEL CREPAD.</t>
  </si>
  <si>
    <t>CANTON DE SAN PABLO</t>
  </si>
  <si>
    <t>VEREDA SAN VICENTE BAJO Y EL DARIEN. REPORTE DEL CREPAD.</t>
  </si>
  <si>
    <t>22122
45127</t>
  </si>
  <si>
    <t>REPORTE DEL CREPAD Y CLOPAD. SE PASA LA GRUPO DE SOPORTE EL TEMA DE VIVENDAS Y AGRICULTURA. APOYO DEL FNC MEDIANTE GIRO DIRECTO AL CLOPAD PARA LA ADQUISICION DE COMBUSTIBLE PÁRA LA MAQUINARIA PARA LA RECUPERACION DE VIAS</t>
  </si>
  <si>
    <t>CORREGIMEINTO SAN ANDRES DE PISIMBALA. APOYO DEL FNC MEDIANTE GIRO DIRECTO AL CLOPAD PARA LA RECUPERACION DE LAS VIASSAN ANDRES TUMBICHUCUE,, SAN ANDRES - SANTA ROSA Y SAN FRANCISCO - VIBORA.</t>
  </si>
  <si>
    <t>DESBORDAMEINTO RIO SARDINATA, TIBU, NUEVO PRESIDENTE. VEREDAS LA COLINA, LA ROCHELA, VEGAS DEL RIO NUEVO, EL PORVENIR, LA SOLEDAD, J 10, LLANO GRANDE, TRES BOCAS, PUERTA DE PALO, BRISAS DE RIO NUEVO, PLAYA RICA, CAÑO VICTORIA. REPORTE DEL CREPAD.</t>
  </si>
  <si>
    <t xml:space="preserve">RE PORTE DEL CREPAD. CORREGIMIENTO LA GALLERA. </t>
  </si>
  <si>
    <r>
      <t xml:space="preserve">CAÑO PANCEGUITA, QUITASUEÑO, CAMAJON, CAÑO MOJANA. BARRIOS SIETE DE MAYO, VEREDAS GALINDO, EL PEDRO, EL CONGRESO, ISLA GRANDE, ISLA DEL COCO, MOJANITA, MONTERIA, OREJERO, FUNDACION , CAMPO ALEGRE, SAN LUIS, SAN MATEO, CARACUCHA, SOLERA, NUEVO MAMON, CAÑO MUERTO, BUENA VISTA, SAN JOSE, CALZON BLANCO. DESBORDAMIENTO CAÑO LA MOJANA.. REPORTE DE LA DEFENSA CIVIL Y EL CREPAD. </t>
    </r>
    <r>
      <rPr>
        <b/>
        <sz val="9"/>
        <rFont val="Arial"/>
        <family val="2"/>
      </rPr>
      <t>APOYO DEL FNC MEDIANTE GIRO DIRECTO AL CLOPAD PARA EL DRENAJE Y ABERTURA DE LOS CAÑOS PANCEGUITA Y CAMAJON MEDIANTE LA COMPRA DE COMBUSTIBLE Y ALQUILER DE MAQUINARIA.. EL VALOR DE OROS CORRESPONDE A 350 PARES DE BOTAS ´PARA ADULTO Y 150 PARA NIÑO</t>
    </r>
  </si>
  <si>
    <t>PERDIDA DE CULTIVOS DE ARROZ, MAIZ, YUCA,FRUTALES, MADERABLE Y PANCOGER.</t>
  </si>
  <si>
    <t>TOLU</t>
  </si>
  <si>
    <t>233
362
235
249
259</t>
  </si>
  <si>
    <t>229
260</t>
  </si>
  <si>
    <t>VEREDA CARRETAL PACALUA, BETSALDA, DESBORDAMIENTO RIO MAGDALENA. REPORTE DE LA DEFENSA CIVIL.</t>
  </si>
  <si>
    <t>CORREGIMIENTO RIO FRIO. DESBORDAMIENTO RIO MAGDALENA. REPORTE DE LA DEFENSA CIVIL.</t>
  </si>
  <si>
    <t>MOMIL</t>
  </si>
  <si>
    <t>VEREDA GUACHARACA Y BRISAS DEL CAUCHO. . REPORTE DEL CREPAD. REPORTE DEL SOCORRO NACIONAL.</t>
  </si>
  <si>
    <t>REPORTE DE DEFENSA CIVIL. VEREDAS CASANARITO, PUERTO C0LOMBIA SARRAPIO. DESBORDAMIENTO RIO CASANARE</t>
  </si>
  <si>
    <t>REPORTE DEL CREPAD Y LA DEFENSA CIVIL. AFECTADA ZONA URBANA.</t>
  </si>
  <si>
    <t>REPELON</t>
  </si>
  <si>
    <t>DESBORDAMIENTO DEL CANAL DEL DIQUE. VEREDA LAS COMPUERTAS. REPORTE DE LA DEFENS ACIVIL.</t>
  </si>
  <si>
    <t>TIMBIO</t>
  </si>
  <si>
    <t>BARRIOS ROCIO BAJO, ROCIO ALTO, SINAI, EL POBLADO. REPORTE DE LA EFENSA CIVIL.</t>
  </si>
  <si>
    <t>VEREDAS ZARAGOZA Y TAMARINDO REPORTE DEL CREPAD Y LA DEFENSA CIVIL.</t>
  </si>
  <si>
    <t>CABECERA MUNICIPAL</t>
  </si>
  <si>
    <t>PURISIMA</t>
  </si>
  <si>
    <t>BARRIO HORIZONTE. REPORTE DE LA DEFENSA CIVIL.</t>
  </si>
  <si>
    <t>KM 19 VIA SAN ANDRES ITUANGO REPORTE DE LA CRUZ ROJA</t>
  </si>
  <si>
    <t xml:space="preserve">REPORTE DEL CLOPAD. BARRIOS 20 DE JULIO , CARRERA 14 CON CALLE 25. </t>
  </si>
  <si>
    <t>DESBORDAMIENTO DEL RIO ZULIA. REPROTE DEL CREPAD. VEREDA PALMARITO</t>
  </si>
  <si>
    <t>BARRIO DIANA TURBAY. SECTOR CULTIVOS, CALLE 48 Z SUR, CARRERA 8 Y 9 ESTE.</t>
  </si>
  <si>
    <t xml:space="preserve">REPORTE DEL CLOAPD. BARRIOS VILLA MAGDALENA Y LA GAVIOTA. </t>
  </si>
  <si>
    <t xml:space="preserve">CAIDA DE ARBOLES, VEHICULOS AFECTADOS 7, </t>
  </si>
  <si>
    <t>DESBORDAMIENTO. REPORTE PRELIMINAR DEL CREPAD</t>
  </si>
  <si>
    <t>VIA SALAMINA - MANIZALES, VEREDA BUENOS AIRES, VENTIADEROS Y LA UNION. VIA SALAMINA - ARANZAZU</t>
  </si>
  <si>
    <t>REPROTE DEL CREPAD.. VEREDAS LA SILLA, MICHAGUA, SANTA TERESA</t>
  </si>
  <si>
    <t xml:space="preserve">DESBORDAMIENTO RIO UBATE, REPORTE DEL CREPAD. VEREDAS SUCUCHOQUE, SECTOR SAN LUIS. </t>
  </si>
  <si>
    <t>REPORTE DEL CREPAD. VEREDA CERCA DE PIEDRA Y BARRIOS RIOFRIO E IBARO.</t>
  </si>
  <si>
    <t>DESBORDAMIENTO RIO NEUSA. REPROTE DEL CREPAD VEREDA CASCAJAL.</t>
  </si>
  <si>
    <t>SUBACHOQUE</t>
  </si>
  <si>
    <t>DESBORDAMIENTO RIO SUBACHOQUE. REPORTE DEL CREPAD.</t>
  </si>
  <si>
    <t>BARRIO LA CITA LOCALIDAD DE USAQUEN Y LOCALIDAD DE SAN CRISTOBAL BARRIO PALERMO,  REPORTE DE LA DEFENSA CIVIL Y FOPAE.</t>
  </si>
  <si>
    <t>LOCALIDAD DE BARRIOS UNIDOS. REPORTE DE DEFENSA CIVIL Y FOPAE</t>
  </si>
  <si>
    <t>REPORTE DEL CLOPAD. CORREGIMIENTOS PUERTO CALDAS, BARRIOS CHICO RESTREPO Y HERNANDO VELEZ.</t>
  </si>
  <si>
    <t>CASCO URBANO, VEREDAS LAS PIEDRAS Y LAS TORTUGAS, REPORTE DEL CREPAD,.</t>
  </si>
  <si>
    <t>REPORTE DEL CREPAD.  VEREDA LLANO GRANDE FINCA  ALFONSO BALCONES</t>
  </si>
  <si>
    <t>REPORTE DE SOCORRO NACIONAL. DESBORDAMIENTO RIO PARAGUACHO. CORREGIMIENTO PARAGUACHON.</t>
  </si>
  <si>
    <t xml:space="preserve">REPORTE DE DEFENSA CIVIL. VEREDA CIRIA. </t>
  </si>
  <si>
    <t xml:space="preserve">UN VEHICULO AFECTADO </t>
  </si>
  <si>
    <t>DESBORDAMEINTO RIO SABALETAS. REPORTE DE LA DEFENSA CIVIL.. ZONA URBANA.</t>
  </si>
  <si>
    <t>AFECTADA ZONA FRANCA CON PERDIDAS ECONOMICAS Y 50.000 AVES DE CORRAL.</t>
  </si>
  <si>
    <t>REPORTE DE LA DEFENSA CIVIL. VEREDAS METROPOLIS, PEDRO SANCHEZ, COREGIMIENTO SAN JOSE.</t>
  </si>
  <si>
    <t>DEFENSA CIVIL. SECTORES CABECERA MUNICIPAL, EREDAS SANTA ROSA, PINDAZA, AGUASUCIA, PLAYA DEL ROPSARIO Y CORREGIMIENTO SAN LORENZA.</t>
  </si>
  <si>
    <t xml:space="preserve">REPORTE DEL CREPAD. VEREDA OROMAZO, </t>
  </si>
  <si>
    <t>DESBORDAMIENTO RIO CAUCA. AFECTANDO LOS BARRIOS LA VICTORIA, LA ESPERANZA, LA APLAYA EL ROBLE, PRIMERO DE MAYO, CASTILLA, LAS PARCELAS DEL CARACOL, EL PRADO LA PAZ Y CORREGIMIENTOS MAGENTA, PALOMAR, LOS MEDIOS, ILUSION, PALANCA, ESMERALDA, BARRIO CHINO, ISLA DE LAS CALANDRIAS, BUENOS AIRES. REPORTE DE LA DEFENSA CIVIL. EL CLOPAD ENVIA INFOREM EL 16 DE NOVIEMBRE QUE SE REMITE AL CREPAD PARA EVALUACION DE SITUACION .</t>
  </si>
  <si>
    <t>REPORTE DEL CLOPAD. SE RECIBIO INFORME DE FECHA 24 DE NOVIEMBRE. SE REMITE AL CREPAD SOLICITANDO INFORMACION SOBRE ACCIONES Y NECESIDADES DEL NIVEL NACIONAL.</t>
  </si>
  <si>
    <t>DESBORDAMIENTO QUEBRADA HILMALAYA. CASCO URBANO. REPORTE DEL CREPAD. EL CLÑOPAD ENVIA INFORME SOBRE SITUACION DEL MUNICIPIO POR DESLIZAMIENTOS, FALLAS GEOLOGICAS, QUE AMERITAN INTERVENCION EN OBRAS. PASA A COORD. REGIONAL</t>
  </si>
  <si>
    <r>
      <t xml:space="preserve">CEBECERA MUNICIPAL Y VARIOS CORREGIMIENTOS. REPORTE DEL CREPAD. </t>
    </r>
    <r>
      <rPr>
        <b/>
        <sz val="9"/>
        <rFont val="Arial"/>
        <family val="2"/>
      </rPr>
      <t>APOYO DEL FNC MEDIANTE GIRO DIRECTO AL CLOPAD PARA LA OBRA DE CIERRE DEL CHOORO ROMPEDEROS SOBRE EL DIQUE DEL PIÑON - CERRO DE SAN ANTONIO</t>
    </r>
  </si>
  <si>
    <t>50562
58953</t>
  </si>
  <si>
    <t>20729
25690</t>
  </si>
  <si>
    <t>294
19878
25687</t>
  </si>
  <si>
    <r>
      <t xml:space="preserve">DESBORDAMEINTO RIO MAGDALENA EN CORREGIMIENTOS LOMA CORREDOR, CAMPO AMALIA, PUERTO PATIÑO, BARRANCA LEBRIJA, REPORTE DE LA CRUZ ROJA. SE REMITE SOLICITU DE LA VEREDA SANTA ROSA DE CARACOL PARA REVISAR TEMA DE REUBICACION DE VIVIENDAS A SOPORTE A LA GESTION Y TEMA DE AGUA POTALE A COORD. REGIONAL. </t>
    </r>
    <r>
      <rPr>
        <b/>
        <sz val="9"/>
        <rFont val="Arial"/>
        <family val="2"/>
      </rPr>
      <t>APOYO DEL FNC MEDIANTE MATERIALES (MANGUERA) PARA LA RECONSTRUCCION DEL ACUEDUCTO.</t>
    </r>
  </si>
  <si>
    <t>VIAS CARRIZAL-ZISAVITA, CUCUTILLA-MORALES, ALTO DE LA MESA-TIERRAGRATA, LOS CUROS - SAN JOSE DE LA MPNTAÑA, SAN JKOSE DE LA MONTAÑA - SANTA TERESITA, CUCUTILLA - CARACOLI. REPORTE DEL CREPAD. PERDIDA SOBRE PUENTE QUEBRADA CARACOLI, ACUEDUCTO VEREDA AGUADAS BAJO, ACUEDICTO CUCUTILLA. REPORTE DEL CREPAD.SE APOYA CON MAETRIARE S DE CONSTRUCCION PARA REPARACION DE VIVENDAS AFECTADAS.</t>
  </si>
  <si>
    <t>270
23792</t>
  </si>
  <si>
    <t>25693
25696</t>
  </si>
  <si>
    <t>0,,</t>
  </si>
  <si>
    <t>ARENAL SUR</t>
  </si>
  <si>
    <t>DESBORDAMIENTO RIO MONO Y QUEBRADA LIBORIA. CASCO URBANO. VEREDA LA SOLEDAD, LA POLONIA, EL TIGRE, CAIMAL, LA CASCADA, SAN EUGENIO, SECTOR AGUA LINDA.. INUNDACION POR FUERTES LLUVIAS. REPORTE DEL CREPAD. EL CLOPAD ENVIA INFORME, PERO SIN PRESUPUESTO NI SOLICITUD CONCRETA DE APOYO. SE REMITE AL CREPAD.</t>
  </si>
  <si>
    <t>LOS CORDOBAS</t>
  </si>
  <si>
    <t>DESBORDAMIENTO QUEBRADA EL EBANO. REPORTE DEDEFENSA CIVIL CORREGIMIENTO EL EBANO</t>
  </si>
  <si>
    <t>REPORTE DEL CLOPAD SECTOR CHAGUALA. VIA CALARCA - ARMENIA KM 2.</t>
  </si>
  <si>
    <t>REPORTE DEL CLOPAD BARRIO LA PAZ Y CORREGIMIENTO LA FLORIDA PORVENIR</t>
  </si>
  <si>
    <t>ROMPIMIENTO DEL JARILLON. REPORTE DELA DEFENSA CIVIL, SECTOR CANAL DEL DIQUE</t>
  </si>
  <si>
    <t>DESBORDAMIENTO RIO ATRATO. REPORTE DE LA DEFENSA CIVIL.</t>
  </si>
  <si>
    <t>BARRIOS MANIZALES, GUAMALITO PARTE ALTA. REPROTE DEL CREPAD. SE HABILITAN DOS ALBERGUES EN EL COLISEO Y COLEGIO.</t>
  </si>
  <si>
    <t>REPORTE DEL CREPAD. VEREDA PRIMAVERA.</t>
  </si>
  <si>
    <t>BUESACO</t>
  </si>
  <si>
    <t>REPORTE DEL CREPAD. CASCO URBANO. VIAS SANTAMARIA - SANTAFE, SANTA FE - LA REPRESA, VERACRUZ - SAN IGNACIO, VILLA MORENO - SAN ANTONIO, SAN ANTONIO - ORTEGA.</t>
  </si>
  <si>
    <t>VIAS SAN LORENZO - SANTA MARTA, SAN LORENZO - PANAMERICANA, SAN GERARDO - SALINAS, SAN LORENZO - LA LAGUNA, SAN LORENZO - SANTA CRUZ, . REPORTE DEL CREPAD.</t>
  </si>
  <si>
    <t>LA CRUZ</t>
  </si>
  <si>
    <t>EL TABLON</t>
  </si>
  <si>
    <t>REPORTE DEL CREPAD. VEREDAS LA GAVILLA, EL PORVENIR LA ESPERANZA, SAN RAFAEL. CORREGIMIENTO DE FATIMA. DESTRUCCION DE DOS PUENTE QUEBRADA GUACARAYACO VIA APONTE -POMPEYA, EL TABLON - BUESACO, EL TABLON - SAN JOSE, EL TABLON - LA VICTORIA, LA VICTORIA - LAS MESAS, LA VICTORIA - LA CUEVA, LA VICTORIA - APONTE, EL PLAN - EL SILENCIO.</t>
  </si>
  <si>
    <t>ALBAN</t>
  </si>
  <si>
    <t>REPORTE DEL CREPAD, CORREGIMIENTOS, GUARANGAL, CEBADERO, CHAPIURCO, CAMPO BELLO.</t>
  </si>
  <si>
    <t>REPORTE DEL CREPAD VIAS LA UNION - CUSILLOS, LA UNION - SAUCE, SAUCE - RINCON CUSILLOS, LA UNION - OLIVOS, LA UNION - CERRITOS, CERRITOS - OJO DE AGUA, LA UNION - EL BRINCO.</t>
  </si>
  <si>
    <t>CHACHAGUI</t>
  </si>
  <si>
    <t>REPORTE DEL CREPAD. CORREGIMIENTO CASABUY, PASISARA, LA TEBAIDA.</t>
  </si>
  <si>
    <t>ELTAMBO</t>
  </si>
  <si>
    <t>REPORTE DEL CREPAD. VIAS EL TAMBO - MOTILON, VEREDA EL POCAURCO, VIA EL TAMBO - SAN PEDRO, VIA EL TAMBO - CHUZA.</t>
  </si>
  <si>
    <t>OSPINA</t>
  </si>
  <si>
    <t>REPORTE DEL CREPAD. VIA OCAÑA - CONVENION, VEREDA OCHO.</t>
  </si>
  <si>
    <t>VEHICULOAFECTADO.</t>
  </si>
  <si>
    <t>CACHIRA</t>
  </si>
  <si>
    <t>REPORTE DEL CREPAD. SECTOR LOS CACAOS.CAIDA DEAORBOL SOBRE VIVIENDA.</t>
  </si>
  <si>
    <t>REPORTE DEL CREPAD. SECTOR LA VEGA.</t>
  </si>
  <si>
    <t>REPORTE DEL CREPAD. SECTOR EL MIRADOR Y EL LLANITO.</t>
  </si>
  <si>
    <t>DESBORDAMIENTO RIO DAGUA. REPORTE DE DEFENSA CIVIL. CORREGIMIENTO CITONELA.</t>
  </si>
  <si>
    <t>MESITAS DEL COLEGIO</t>
  </si>
  <si>
    <t>DESBORDAMIENTO QUEBRADA BELEN. REPORTE DEL CREPAD.</t>
  </si>
  <si>
    <t>REPORTE DEL CREPAD. VEREDA MERCADILLO.DESBORDAMIENTO QUEBRADA MENDOZA</t>
  </si>
  <si>
    <t>UNA GRANJA AFECTADA Y 600 GALLINAS MUERTAS.</t>
  </si>
  <si>
    <t>PAIME</t>
  </si>
  <si>
    <t>REPORTE DEL CREPAD. VIA SAN CAYETANO - PAIME Y PAIME - BOQUERON.</t>
  </si>
  <si>
    <t>MUNICIPIO SIN SUMINISTRO DE AGUA POTABLE.</t>
  </si>
  <si>
    <t>REPORTE DEL CREPAD. BARRIOS SAN MARTIN, MARIA AUXILIADORA.</t>
  </si>
  <si>
    <t>AFECTACION EN EL PALACIO MUNICIPAL Y EL POLIDEPERTIVO.</t>
  </si>
  <si>
    <t>REPORTE DEL CLOPAD. SECTOR CARACOL LA CURVA, BARRIOS LA PLAYITAY SANTA HELENA.</t>
  </si>
  <si>
    <t>REPORTE DE DEFENSA CIVIL.LOCALIDAD RAFAEL URIBE, BARRIO MARCO FIDELSUAREZ.</t>
  </si>
  <si>
    <t>LOCALIDAD DE CHAPINERO. BARRIO BOSQUE CALDERON.</t>
  </si>
  <si>
    <t>CUMBITARA</t>
  </si>
  <si>
    <t>MUERTO EL CONDUCTOR DE LA VOLQUETA DEL MUICIPIO.</t>
  </si>
  <si>
    <t>REPORTE DEL CREPAD. CORREGIMIENTO SAN ANTONIO</t>
  </si>
  <si>
    <t>DESBODAMIENTO RIO MORALES. REPORTE DEL CREPAD. COPRREGIMIENTO EL SALTO,</t>
  </si>
  <si>
    <t>AFECTACION EN CULTIVOS DE TOMATE, LIMON Y NARANJA.</t>
  </si>
  <si>
    <t xml:space="preserve">ROMPIMIENTO DEL DIQUE. REPORTE DEL CREPAD. </t>
  </si>
  <si>
    <t>REPORTE DESOCORRO NACIONAL</t>
  </si>
  <si>
    <t>DESBORDAMIENTO QUEBRADA LA SAPOSA, REPORTE DEL CLOPAD. SECTOR LA GAVIOTA. Y SECTOR URIBE URIBE.</t>
  </si>
  <si>
    <t>REPORTE DEL CREPAD. VIA APIA- SANTUARIO, SECTOR CRISTALES.</t>
  </si>
  <si>
    <t>REPORTE DEL CLOPAD. BARRIO SIETE DE ABRIL Y SECTOR CUCHILLA DE VILLATE.</t>
  </si>
  <si>
    <t>REPORTE DEL CREPAD. CASCO URBANO.</t>
  </si>
  <si>
    <t>CRECIENTE SUBITA RIO ANIMITO. REPORTE DEL CREPAD.VEREDA LA UNION 28.</t>
  </si>
  <si>
    <t>DESBORDAMIENTO DE RIO BITACO. REPORTE DEL CREPAD CORREGIMIENTO LA YOLOMBIA. Y SECTOR LA GUINEA VIA CALI - BUENAVENTURA</t>
  </si>
  <si>
    <t>LOCALIDAD DE FONTIBON, BARRIOS CASANDRA Y LA VEGA.Y LOCALIDAD DE CIUDAD BOLIVAR, BARRIO MONTERREY Y BARRIO BOGOTA. . REPORTE DE DEFENSA CIVI</t>
  </si>
  <si>
    <t>DESBORDAMIENTO RIO TUNJUELITO, LOCALIDAD DE BOSA, REPORTE DE DEFENSA CIVIL, BARRIO LA ESMERALDA Y CIUDADELA.</t>
  </si>
  <si>
    <t>REPORTE DE BOMBEROS, VEREDA EL CONSUELO.</t>
  </si>
  <si>
    <t>REPORTE DEL CLOPAD BARRIO SABANA VERDE, SAN RAFAEL, LA FLORIDA, ANTONIO SANTOS, LA VICTORIA, SEVILLA, SECTOR CERRO NORTE</t>
  </si>
  <si>
    <t>DESBORDAMIENTO DE LOS RIOS GRITA, ZULIA Y Y PAMPLONITA. REPORTE DEL CREPAD. BARRIOS LA UNION, SAN IGNACIO DEL COCUY, LA ISLA. FAMILIAS EVACUADAS EN DOS ALBERGUES.</t>
  </si>
  <si>
    <t>DESBORDAMIENTO RIO TACHIRA. REPORTE DEL CREPAD. SECTOR LA PARADA. Y DESLIZAMIENTO EN BARRIOS NARIÑI, SAN GREGORIO, 20 DE JULIO, SANTANDER.</t>
  </si>
  <si>
    <t>REPORTE DEL CREPAD. BARRIOS LAUREANO GOMEZ, GREGORIO MONTES.</t>
  </si>
  <si>
    <t>REPROTE DEL CREPAD. SCTOR PRIMERO DE MAYO. CORREGIMIENTO LA SAN JUANA Y CASCO URBANO</t>
  </si>
  <si>
    <t>DESBORDAMIETNO RIO CAUCA, CORREGIMIENTO CALICHE, EL GUARE Y SAN FERNANDO. REPORTE DEL CREPAD.</t>
  </si>
  <si>
    <t>DESBORDAMIENTO RIO JAMUNDI. BARRIOS EL ROSARIO, SACHAMATE, LA PRADERA DESBORDAMIENTO QUEBRADA ROBLES AFECTANDO EL CORREGIMIENTO DE ROBLES..DESBORDAMIEBNTO QUEBRADA QUINAMAYO CORREGIMIENTO QUINAMAYO.  CORREGIMEINTO VILLA PAZ Y BARRIO CIRO VELASCO. . REPORTE DEL CREPAD.</t>
  </si>
  <si>
    <t>AFECTADA VIA JIGUALES - PUENTE TIERRA.Y BARRIO LA PALMA.  REPORTE DEL CREPAD</t>
  </si>
  <si>
    <t>DESBORDAMIENTO QUEBRADA LA SIRENA. REPORTE DEL CREPAD. CORRGIMIENTO SANTA HELENA.</t>
  </si>
  <si>
    <t>REPORTE DEL CRPAD BARRIOS LAS AGUITAS Y SAN PEDRO Y CARRETERO Y VEREDA GUAYABAL.</t>
  </si>
  <si>
    <t>BARRIO ALAMOS, GRAN COLOMBIA, PATIO BONITO Y CORREGIMIENTO LOBOGUERRERO. Y VIAS A LOS CORREGIMIENTOS EL PALMAR Y CISNEROS. REPORTE DEL CREPAD.</t>
  </si>
  <si>
    <t xml:space="preserve">DEBORDAMIENTO RIOS FRALE, PALMIRA, BOLO Y TIMBIQUE. CORREGIMIENTO ROZO SECTOR LA ACEQUIA. REPORTE DE LA DEFENSA CIVIL. </t>
  </si>
  <si>
    <t>ALBANIA</t>
  </si>
  <si>
    <t>SOLANO</t>
  </si>
  <si>
    <t xml:space="preserve">REPORTE DEL CLOPAD. </t>
  </si>
  <si>
    <t>CORREGIMIENTO EL SALADO. PENDIENTE AFECTACION.</t>
  </si>
  <si>
    <t>DAÑOS EN CULTIVOS Y VIAS.</t>
  </si>
  <si>
    <t>SAN PEDRO DE URABA</t>
  </si>
  <si>
    <t>TUBARA</t>
  </si>
  <si>
    <t>SE APOYA TENIENDO EN CUENTA LA NECESIDAD DE MEJORAR LA VIA COMO MECANISMO DE TRANSPORTE DE LA COMUNIDAD.</t>
  </si>
  <si>
    <r>
      <t xml:space="preserve">CORREGIMIENTO SANTA RITA DEL OPON. </t>
    </r>
    <r>
      <rPr>
        <b/>
        <sz val="9"/>
        <rFont val="Arial"/>
        <family val="2"/>
      </rPr>
      <t>APOYO DEL FNC MEDIANTE GIRO DIRECTO AL CLOPAD PARA ALQUILER DE MOTONIVELADORA, RETROEXCAVADORA Y MALLA DE GAVION.</t>
    </r>
  </si>
  <si>
    <t>ABREGO</t>
  </si>
  <si>
    <t>153
142</t>
  </si>
  <si>
    <t>AYAPEL</t>
  </si>
  <si>
    <t>DESBORDAMIENTO RIO SAN JORGE VEREDA POTOSI. REPORTE DEL CREPAD</t>
  </si>
  <si>
    <t>VEREDA ALTO MIRA. REPORTE DEL CREPAD</t>
  </si>
  <si>
    <t>VEREDA PEÑAS BLANCAS. REPORTE DEL CREPAD .</t>
  </si>
  <si>
    <t>COTORRA</t>
  </si>
  <si>
    <t>PUERTO COLOMBIA</t>
  </si>
  <si>
    <t>227
247
266</t>
  </si>
  <si>
    <t>SE APOYA DE MANERA COMPLEMENTARIA A LOS ESFUERZOZ LOCALES Y REGIONALES</t>
  </si>
  <si>
    <t>TALAIGUA NUEVO</t>
  </si>
  <si>
    <t>APOYO GLOPAL PARA LOS MUNICIPIOS DE PUERTO WILCHES, BARRANCABERMEJA, CIMITARRA, PUERTO PARRA, SIMACOTA, JESUS MARIA, BUCARAMANGA, GALAN OALMAS DEL SOCORRO.</t>
  </si>
  <si>
    <t>SE APOYA TENINEDO EN CUENTA LA MAGNITUD DE LA EMERGENCIA</t>
  </si>
  <si>
    <t>APOYO MEDIANTE 70000 SACOS</t>
  </si>
  <si>
    <t>BARRIOS FACIOLINCE, LA VALEROSA, SAN MARTIN, PRIMERO E JULIO, VEREDAS LA ISLA, QUIMBAYA, CORREGIMIENTOS SANTA TERESITA, LA LOMA, RINCONADA, ANCON, GUATACA, PUEBLO NUEVO, SAN NICOLAS, GUAIMARCO, BOQUILLAS, CANDELARIA, CALDERA, SAN LUIS, CARMEN DE CICUCO, LOBATA, PIÑONES, SAN IGNACIO, SANTA CRUZ, LA JAGUA, SANTA ROSA, EL ROSARIO, VILLA NUEVA, TRAVESIA, SANTA HELENA, BOMBA. REPORTE DEL CLOPAD Y CREPAD. APOYO EN ALIMENTOS Y TOLDILLOS</t>
  </si>
  <si>
    <t>DIBULLA</t>
  </si>
  <si>
    <t>VEREDA LAS VEGAS, SECTOR EL VOLCAN, REPORTE DE LA DEFENSA CIVIL Y EL CREPAD.</t>
  </si>
  <si>
    <t>EL TAMBO</t>
  </si>
  <si>
    <t>270
274</t>
  </si>
  <si>
    <t>270
279</t>
  </si>
  <si>
    <t>ACANDI</t>
  </si>
  <si>
    <r>
      <t>PEÑALOSA, SAN MIGUEL, CHUGANDI, SANTA CRUZ CALETA. REPORTE DEL CLOPAD.</t>
    </r>
    <r>
      <rPr>
        <b/>
        <sz val="9"/>
        <rFont val="Arial"/>
        <family val="2"/>
      </rPr>
      <t xml:space="preserve"> APOYO DEL FNC MEDIANTE GIRO DIRECTO AL CLOPAD PARAM CNSTRUCCION ESTRUCTURA DE DICIPACION TEMPORAL RIO TOLO, CORREGIMIENTO DE PEÑALOZA</t>
    </r>
  </si>
  <si>
    <t>CRECIENTE RIO ATRATO. APOYO MEDIANTE GIRO DIRECTO AL CLOAPD PARA ADQUISICON DE MACHETES, HACHAS Y GASOLINA PARA APOYAR OPERATIVOS DE EMERGENCIA.</t>
  </si>
  <si>
    <t>266
270
271</t>
  </si>
  <si>
    <t>GONZALEZ</t>
  </si>
  <si>
    <t>BARRIO GUCAMAYA SECTOR DE LOS CUROS. REPORTE DEL CLOPAD.</t>
  </si>
  <si>
    <t>INUNDACION POR FUERTES LLUVIAS Y DESBORDAMIENTO DEL RIO MANZANARES. BARRIOS SIMON BOLIVAR LAS VEGAS, LOS ALPES, CENTRO Y ALMENDROS EN TOTAL 30 BARRIOS AFECTADOS. REPORTE DE CREPAD Y CLOPAD</t>
  </si>
  <si>
    <t>SECTORES NAZARETH PROTECHO 1 Y 2, URBANIZACION VILLA CLARA Y MODELIA 1 Y 2. REPORTE DEL CREPAD</t>
  </si>
  <si>
    <t>VEREDA CARACOLI. REPORTE DEL CREPAD.</t>
  </si>
  <si>
    <t>EN EVALUACION</t>
  </si>
  <si>
    <r>
      <t>VIA QUE CONDUCE A LA VEREDA JABONERA Y SAN ROQUE. SOLICTAN RECURSOS PARA LA VIA.</t>
    </r>
    <r>
      <rPr>
        <b/>
        <sz val="9"/>
        <rFont val="Arial"/>
        <family val="2"/>
      </rPr>
      <t xml:space="preserve"> PASA A EVALUACION POR PROYECTO.</t>
    </r>
  </si>
  <si>
    <r>
      <t>DESBORDAMIENTO ARROYO EL TIGRE. REPORTE DE LA DEFENSA CIVIL</t>
    </r>
    <r>
      <rPr>
        <b/>
        <sz val="9"/>
        <rFont val="Arial"/>
        <family val="2"/>
      </rPr>
      <t>. PASA AL GRUPO DE SOPORTE  LA GESTION YA QUE LA SOLICITUD ES PARA BANCO DE MATERIALES PARA VIVIENDA</t>
    </r>
  </si>
  <si>
    <r>
      <t xml:space="preserve">CORREGIMIENTO SAN JOSE DE SACO. </t>
    </r>
    <r>
      <rPr>
        <b/>
        <sz val="9"/>
        <rFont val="Arial"/>
        <family val="2"/>
      </rPr>
      <t>PASA A EVALUACION DE SOPORTE A LA GESTION POR SER TEMA DE VIVIENDA.</t>
    </r>
  </si>
  <si>
    <t>SOLICITUD PARA BANCO DE MATERIALES VIVIENDA</t>
  </si>
  <si>
    <t>96629
98122</t>
  </si>
  <si>
    <t>EL VALOR DE OTROS CORRESPONDE DOS MOTORES FUERA DE BORDA Y DOS MOTOBOMBAS</t>
  </si>
  <si>
    <t>281
283</t>
  </si>
  <si>
    <t>39301
38422
35157</t>
  </si>
  <si>
    <t>CHIMICHAGUA</t>
  </si>
  <si>
    <t>PUEBLO BELLO</t>
  </si>
  <si>
    <t>RIO DE ORO</t>
  </si>
  <si>
    <t>PELAYA</t>
  </si>
  <si>
    <t>CODAZZI</t>
  </si>
  <si>
    <t>EL PASO</t>
  </si>
  <si>
    <t>SIN CENSOS</t>
  </si>
  <si>
    <r>
      <t>CABECERA MUNICIPAL Y CORREGIMIENTO PUERTO NIÑO.</t>
    </r>
    <r>
      <rPr>
        <b/>
        <sz val="9"/>
        <rFont val="Arial"/>
        <family val="2"/>
      </rPr>
      <t xml:space="preserve"> APOYO ADICIONAL DEL FNC MEDIANTE GIRO DIRECTO AL CLOPAD PARA APOYAR LA RECONSTRUCCION Y REALCEDEL DIQUE MARGUINALEN EL CORREGIMEINTO DE PUERTO NIÑO</t>
    </r>
  </si>
  <si>
    <t>APOYO DEL FNC MEDIANTE GIRO DIRECTO AL CLOPAD PARA LA ADQUISICION DE MACHETES  Y GASOLINA PARA APOYAR LOS OPERATIVOS DE EMERGENCIA.</t>
  </si>
  <si>
    <t>APOYO EN SACOS</t>
  </si>
  <si>
    <t>SE APOYA COMO MEDIDA DE MITIGACION FRENTE A INUNDCIONES</t>
  </si>
  <si>
    <t>BARRIO POZO LLANO Y PINZON VEREDAS SAN EMGDIO SAN JUAN SAN ISISDRO, VIA PUWEBLITO BOYACENSE Y VEREDA EL CHORRITO. REPROTE DEL CREPAD</t>
  </si>
  <si>
    <t>COLEGIO SAN CARLOS EN BOGOTA</t>
  </si>
  <si>
    <t>267
266
275
271
284</t>
  </si>
  <si>
    <t>GENOVA</t>
  </si>
  <si>
    <t>REPORTE DEL CLOPAD Y AVAL DE CLOPAD. VIAS:VUELTA DE LA OREJA- VEREDA TOPACITA ALTA, TOPACITA ALTA- FINCA EL JARDIN, FINCA EL JARDIN - BATALLON ALTA MONTAÑA, VEREDA GUACAS - FINCA LAS MIRLAS, SECTOR ALTO DE LA CRUZ, VIA EL SEDAL - BATALLON ALTA MONTAÑA - ALTOS DE LAS PALOMAS, RIO ROJO - VEREDA EL PENCIL, LA COQUETA- LA PRIMAVERA - PEDREGALES, RIO GRIZ - SAN JUAN,M RIO GRIS - EL PINO, SAN JUAN - LAS COLINAS - COSTA RICA, CUMARAL - LA PLAYITA, CUMARAL - LA MIRANDA, CUMARAL - EL CAIRO, EL DORADO - LA CASCADA.</t>
  </si>
  <si>
    <t>APOYO DEL FNC MEDIANTE GIRO DIRECTO AL CLOPAD PARA LA CONSTRUCCION DE DOCE VIVIENDAS, OCHO EN EL CENTRO DE AFLUENCIA PUERTO EUGENIO Y CUATRO EN LA ZONA URBANA.</t>
  </si>
  <si>
    <t>VEREDA LOS CORALES CORREGIMIENTOS EL CHINO, NUEVO MILENIO,VILLA NUEVA, SAN FRANCISCO, LAS LOMAS. REPORTE DE LA EFENSA CIVIL. DESBORDAMIENTO DE  LA CIÉNAGA GRANDE DE PURÍSIMA Y SE AFECTARON DIVERSOS BARRIOS: TALES SAN FRANCISCO SAN FERNANDO, EL POZO, EL CORREGIMIENTO DE LOS CORRALES Y ZONAS ALEDAÑAS.</t>
  </si>
  <si>
    <t>REPORTE DE LA CRUZ ROJA. EL COMITÉ LOCAL DEL MUNICIPIO INFORMÓ  QUE SE PRESENTARON EMERGENCIAS TALES COMO DESLIZAMIENTOS, REPRESAMIENTOS, CRECIENTES SÚBITAS, DESPLOME Y DESTECHAMIENTO DE VIVIENDA Y AVENIDAS TORRENCIALES DEBIDO A LAS FUERTES LLUVIAS QUE OCASIONARON EL DESBORDAMIENTO DEL CAÑO DE AGUAS PRIETAS DE CIENAGA DE ORO, AFECTANDO  SECTOR URBANO Y RURAL  :  B. WINTONG LORA, B. SAN MARTÍN, B. 13 DE MAYO, CASERÍO SUAREZ, BEL MILAGRO, B. FÁTIMA, B. SEIS DE ENERO, VEREDA SOLEDAD, CORREGIMIENTO LOS MIMBRES,-LAS PALOMAS, VEREDA BOCA DE CATABRE, VEREDA CHARCO AJÍ, CORREGIMIENTO PUNTA DE YÁNEZ, VEREDA EL HIGAL PARA UN TOTAL  DE 890 FAMILIAS.</t>
  </si>
  <si>
    <t xml:space="preserve">DESBORDAMIENTO CAÑO AGUAS PRIETAS Y CIENAGA CHARCO GRANDE. BARRIOS CASTILLERAL, COREA, LOS ABETOS, SAN NICOLÁS, REMEDIA, POBRE, SANTA TERESITA,,  VEREDAS GUAYABAL Y CANTARANA. REPORYTE DE DEFENSA CIVIL. Y DEL CLOPAD-COMITÉ LOCAL </t>
  </si>
  <si>
    <t>DESBORDAMIENTO RIO SAN JORGE. AFECTADOS TRES BARRIOS. VEREDAS BOCAS DE MANUELITA, ARAÑA Y PICA PICA. REPORTE DE CREPAD. EN ATENCIÓN AL REPORTE DEL COMITÉ LOCAL DEL MUNICIPIO DEBIDO A LAS FUERTES LLUVIAS ACOMPAÑADOS DE VIENTOS HURACANADOS, OCASIONARON DESBORDAMIENTO DEL RIO SAN JORGE, CAÑO BURGOS Y QUEBRADA MUCHA JAGUA AFECTADO A LA MENCIONADA POBLACIÓN EN LAS VEREDAS  EL ONCE, BOCA DE LA MANUELITA, DESBORDAMIENTO DEL SAN JORGE,  BARRIO VILLA CLEMEN-DESBORDAMIENTO DE LA QUEBRADA MUCHAJAGUA. PARA UN TOTAL DE 530 FAMILIAS.</t>
  </si>
  <si>
    <t>DE ACUERDO A LOS REPORTES DEL COMITÉ LOCAL DE PREVENCIÓN Y ATENCIÓN DE DESASTRE LAS CONTINUAS LLUVIAS Y CON EL FENÓMENO  CONOCIDO COMO CRECIENTE DE MONTE POR DESBORDAMIENTO DE ARROYO EL DILUVIO, SE PRESENTARON INUNDACIONES EN LOS CORREGIMIENTOS DE SABANA  Y EN LAS VEREDAS : CAÑOELAR, NAPAL, LA TRAMPA, LATAL OCASIONANDO PERDIDA DE CULTIVOS PARA UN TOTAL DE 129 FAMILIAS</t>
  </si>
  <si>
    <r>
      <t>DE ACUERDO A LA INFORMACIÓN DEL COMITÉ LOCAL Y DEBIDO A LAS INTENSAS LLUVIAS SE PRESENTARON INUNDACIONES POR CAUSA DE LA CRECIENTE DE LOS RIOS SAN PEDRO, SAN JORGE Y SUS AFLUENTES AFECTADO A LOS HABITANTES DE LOS</t>
    </r>
    <r>
      <rPr>
        <b/>
        <sz val="9"/>
        <rFont val="Arial"/>
        <family val="2"/>
      </rPr>
      <t>–</t>
    </r>
    <r>
      <rPr>
        <sz val="9"/>
        <rFont val="Arial"/>
        <family val="2"/>
      </rPr>
      <t>CORREGIMIENTOS TORNO ROJO,  PUERTO CAREPA,  JUAN JOSE, CORREGIMIENTO PICA PICA, VEREDAS: SALAO, SANTA FE, BETULIA, EL CAMPANO, UCRANIA , PLAYA RICA.</t>
    </r>
  </si>
  <si>
    <t>DEBIDO A LAS FUERTES LLUVIAS  SE PRODUJO DESBORDAMIENTO DEL ARROYO CAROLINA  Y LA REPRESA DEL BARRIO. PALMASORIANA OCASIONANDO AFECTACIONES A  110 FAMILIAS  DE LA  ZONA URBANA BARRIOS PALMA SORIANA, LA PAZ, CENTENARIO Y  LAURELES - 10 DAMNIFICADAS..</t>
  </si>
  <si>
    <t>DEBIDO A LAS TEMPORADA INVERNAL SE PRESENTARON EMERGENCIAS POR DESBORDAMIENTO DE LA CIÉNAGA  GRANDE AFECTANDO A LOS MORADORES DEL SECTOR URBANO: BARRIOS EL ROBLE, LAS LAMAS, EL BOLSILLO, VILLA CECILIA, EL MAMÒN, EL RINCÓN, PARA UN TOTAL DE 588 FAMILIAS AFECTADAS ZONA URBANA  DESBORDAMIENTO CIÉNAGA GRANDE.</t>
  </si>
  <si>
    <t>DE ACUERDO AL INFORME  POR EL COMITÉ LOCAL SE PRESENTARON EMERGENCIAS DEBIDO A LAS INTENSAS LLUVIAS Y AUMENTO DEL NIVEL DEL RIO SINU EN LOS CORREGIMIENTOS DE LOS GÓMEZ, MATA DE CAÑA, COTOCA ARRIBA, PALO DE AGUA, NARIÑO Y COTOCA ABAJO OCASIONANDO INUNDACIONES EN LA POBLACIÓN   FAMILIAS AFECTADAS.  VEREDA MOMPOX Y MARACAYO  PARA UN TOTAL DE 690 FAMILIAS AFECTADAS.</t>
  </si>
  <si>
    <t xml:space="preserve">SE PRESENTARON EMERGENCIAS DEBIDO A LAS CONTINUAS LLUVIAS Y  A QUE LA QUEBRADA CHAPINERO DESEMBOCA EN EL RIO SINÙ  OCASIONANDO AFECTACIONES A LA POBLACIÓN DEL SECTOR URBANO Y RURAL TALES COMO : BARIOS : AMAURY, PARAISO, RECREO, LA PAZ, MONTEVIDEO,, VILLA VERDE, ALFONSO LOPEZ, SANTA FE, VILLA VERDE, LA UNIÒN, L A PALMA, VILLA NAZARET GALAN Y ESMERALDA, LAS VEREDAS DE JUAN LEÓN ARRIBA, NUEVA UNIÓ, NUEVO ORIENTE PASACABALLO, TUIS TUIS, NUEVO TAY  </t>
  </si>
  <si>
    <t>AUMENTO DEL NIVEL DEL RIO SAN JORGE –DESBORDAMIENTO DE LA CIENGA DE CINTURA AFECTANDO LOS CORREGIMIENTOS  DE CINTURA, PUERTO LETICIA, NUEVA ESPERANZA Y EL PORRO SANTA ROSA DE ARCIAL, EL CHISPAL, EL DESEO PARA UN TOTAL DE FAMILIAS AFECTADAS 301</t>
  </si>
  <si>
    <t>PUEBLO NUEVO</t>
  </si>
  <si>
    <t xml:space="preserve">DESBORDAMIENTO RIO RANCHERIA PUENTE EN RIOHACHA. REPORTE DE CRUZ ROJA </t>
  </si>
  <si>
    <t>SAN LORENZO</t>
  </si>
  <si>
    <t>PALMAR DE VARELA</t>
  </si>
  <si>
    <t>SANTA LUCIA</t>
  </si>
  <si>
    <t>DESBORDAMEINTO RIO PURNIO. VEREDA CHOCHAL.</t>
  </si>
  <si>
    <t>CIENAGA DE ORO</t>
  </si>
  <si>
    <t>COROZAL</t>
  </si>
  <si>
    <t>META</t>
  </si>
  <si>
    <t>EL CASTILLO</t>
  </si>
  <si>
    <t>MANIZALES</t>
  </si>
  <si>
    <t>HATO COROZAL</t>
  </si>
  <si>
    <t>VEREDAS EL CACAO, PAPAYAL, EL LOBO, CAJAMBRE, SECADERO, CUMBA, ISLA PLADA, PERDIDA DE ENSERES. REPORTE DEL CREPAD.</t>
  </si>
  <si>
    <t>BARRIO CHAMBACU. REPORTE DE LA DEFENSA CIVIL.</t>
  </si>
  <si>
    <t>TOPAGA</t>
  </si>
  <si>
    <t>REPORTE DEL CREPAD. INUNDACION POR DESBORDAMIENTO DEL RIO MAGDALENA. BARRIOS LA BONGA, PATIO LARGO, QUINCE DE AGOSTO, SIETE DE AGOSTO, EL PASITO, DOCE DE OCTUBRE, EL MERCADO, EL PORVENIR NUEVO TRIUNGFO.</t>
  </si>
  <si>
    <t>GUABATA</t>
  </si>
  <si>
    <t>EREPORTE DEL CREPAD</t>
  </si>
  <si>
    <t>DESBORDAMIENTO RIO PAZ DE ARIPORO. REPORTE DE DEFENSA CIVIL</t>
  </si>
  <si>
    <t xml:space="preserve">DESBORDAMIENTO ARROYO GRANDE. PENDIENTE AFECTACION REPORTE DEL CREPAD. BARRIOS SANC ARLOS, AMERICAS, EL CORCHO, CENTRO, NORTE 1 Y 2, EL SILENCIO Y LAS MARGARITAS. </t>
  </si>
  <si>
    <t>DESBORDAMIENTO RIO RANCHERIA CORREGIMIENTO CUCURUMANA Y MANTECAI. REPORTE DE LA DEFENSA CIVIL. PENDIENTE AFECTACION.</t>
  </si>
  <si>
    <r>
      <t xml:space="preserve">TODA LA CABECERA MUNICIPA Y DOCE CORREGIMIENTOS. REPROTE DE LA DEFENSA CIVIL. </t>
    </r>
    <r>
      <rPr>
        <b/>
        <sz val="9"/>
        <rFont val="Arial"/>
        <family val="2"/>
      </rPr>
      <t>El VALOR DE OTROS CORRESPONDE AL SUMINSITRO DE UNA MOTOBOMBA DE 10"</t>
    </r>
  </si>
  <si>
    <t>PUERTO LLERAS</t>
  </si>
  <si>
    <t>BARRIO CIUDAD PORFIA. REPROTE DEL CREPAD.</t>
  </si>
  <si>
    <t>BARRIO LAS BRISAS REPORTE DEL CREPAD.</t>
  </si>
  <si>
    <t>DESBORDAMIENTO RIO MAGDALENA. REPORTE DEL CREPAD</t>
  </si>
  <si>
    <t>DESBORDAMIENTO RIO MAGDALENA ZONA URBANA Y VEREDA CAIMITAL. REPORTE DEL CLOPAD Y SOCORRO NACIONAL</t>
  </si>
  <si>
    <t>DESBORDAMIENTO RIO MAGDALENA. REPORTE DEL SOCORRO NACIONAL</t>
  </si>
  <si>
    <t>VIA EL AGUILA - CARTAGO REPORTE DELCREPAD.</t>
  </si>
  <si>
    <t>ENVIGADO</t>
  </si>
  <si>
    <t>VEREDA GUAYACANES SECTOR ARENALES. REPORTE DEL CREPAD.</t>
  </si>
  <si>
    <t>CALOTO</t>
  </si>
  <si>
    <t>SECTOR URBANO. REPORTE DEL CREPAD</t>
  </si>
  <si>
    <t>BOSCONIA</t>
  </si>
  <si>
    <t>REPORTE DEL CREPAD Y LA DEFENSA CIVIL. AFECTADA ZONA URBANA. EL 8 DE OCTUBRE EL CREAD ENVIA OFICIO COLICITANDO EN REGISTRO DE LA INFORMACION EN LA BASE DE DATOS, NO HAY SOLICITUD CONCRETA DE APOYO PASA A VIVIENDA Y AGRICULT.</t>
  </si>
  <si>
    <t>DESLIZAMIENTO EN LA VEREDA BARRAGAN.  REQUIEREN LA DEMOLICION DE 160 M3 DE CONCRETO Y SUBSIDIO PARA 20 FAMILIAS. REPOROTE DEL CLOPAD. PASA A COORDINACION REGIONAL. EL CREPAD ENVIO OFICIO EL 8 DE OCTUBRE SOLICITANDO REGISTRO EN EL SISTEMA. NO HAY SOLICITUD DE APOYO PASA A VIVIENDA Y AGRICULT.</t>
  </si>
  <si>
    <t>MEDIANTE OFICIO DEL 8 DE OCTUBRE EL CREPAD ENVIA OFICIO SOLICITANDO EL REGISTRO EN EL SISTEMA DE LA INFORMACION. NO HAY SOLICITUD DE APOYO PASA A VIVIENDA Y AGRICULT.</t>
  </si>
  <si>
    <t>DESBORDAMIENTO RIO SALAQUI. AFECTADAS LAS COMUNIDADES DE PLAYA BONITA, CAÑO SECO, SALAQUISITO, TAMBORAL, VILLANUEVA, PLAYA AGUIRRE, REGADERO Y PUEBLO NUEVO.  REPORTE DE LA CRUZ ROJA.</t>
  </si>
  <si>
    <t>25690
26016</t>
  </si>
  <si>
    <r>
      <t xml:space="preserve">DESBORDAMIENTO RIO CESAR SECTORES VEREDAS ARENAS BLANCAS, ZELEDON, LOS MOSQUITOS, RANCHO CLARO, NUEVA LUZ, POPONTE, MUCHILA ALTO. REPROTE DEL CREPAD. </t>
    </r>
    <r>
      <rPr>
        <b/>
        <sz val="9"/>
        <rFont val="Arial"/>
        <family val="2"/>
      </rPr>
      <t>EL VALOR DE OTROS CORRESPONDE A 300 PARES DE BOTAS (200 ADULTO 100 NIÑO)</t>
    </r>
  </si>
  <si>
    <r>
      <t xml:space="preserve">REPORTE DEL CREPAD. DESBORDAMIENTO RIO MAGDALENA. </t>
    </r>
    <r>
      <rPr>
        <b/>
        <sz val="9"/>
        <rFont val="Arial"/>
        <family val="2"/>
      </rPr>
      <t>EL VALOR DE OTROS CORRESPONDE A 100 PALAS, 100 PICAS, 100 PARES DE BOTAS ADULTO Y 50 PARES DE BOTAS NIÑO.</t>
    </r>
  </si>
  <si>
    <r>
      <t xml:space="preserve">DESBORDAMIENTO RIO ARIGUANI. BARRIOS 12 DE OCTUBRE, EL PESCAITO, EL BOLSILLO. CORREGIMIENTO DE RABO LARGO. AFECTADA VIA EL PASO - ASTREA. REPROTE DEL CREPAD. </t>
    </r>
    <r>
      <rPr>
        <b/>
        <sz val="9"/>
        <rFont val="Arial"/>
        <family val="2"/>
      </rPr>
      <t>EL VALOR DE OTROS CORRESPONDE A 70 PARES DE BOTAS ADULTO Y 30 PARA NIÑOS</t>
    </r>
  </si>
  <si>
    <r>
      <t>DESBORDAMIENTO QUEBRADA ARJONA. CORREGIMIENTO ARJONA. REPORTO EL CREPAD.</t>
    </r>
    <r>
      <rPr>
        <b/>
        <sz val="9"/>
        <rFont val="Arial"/>
        <family val="2"/>
      </rPr>
      <t>EL VALOR DE OTROS CORREPONDE A 100 PARES DE BOTAS ADULTO Y 50 PARA NIÑO.</t>
    </r>
  </si>
  <si>
    <t>21045
22245
22705
23530
23551
23555
26016</t>
  </si>
  <si>
    <r>
      <t>DESBORDAMIENTO RIO SINU, CAÑO CHIMILITO Y CIENAGA GRANDE DEL BAJO SINU. REPORTE DE LA DEFENSA CIVIL.</t>
    </r>
    <r>
      <rPr>
        <b/>
        <sz val="9"/>
        <rFont val="Arial"/>
        <family val="2"/>
      </rPr>
      <t>EL VALOR DE OTROS CORRESPONDE A DOS MOTOBOMBAS DE 4X4-</t>
    </r>
  </si>
  <si>
    <t>25061
25991</t>
  </si>
  <si>
    <t>23997
26014</t>
  </si>
  <si>
    <t>SE ENTREGA UN KIT DE COCINA ESPECIAL.</t>
  </si>
  <si>
    <r>
      <t xml:space="preserve">REPORTE DEL CREPAD Y LA DEFENSA CIVIL. BARRIOS DIVIDIVI, LA LUCHA, LA LUCHITA, LAS TUNAS, LOS MANGOS, VILLA ZIRUMA, JOSE ANTONI GALAN, LA UNION, SAN MARTIN, MARIA EUGENIA, CAMILO TORRES, CAMPO ALEGRE, NUWEVO HORIZONTE, LAS MERCEDES, 31 DE OCTUBRE, NUEVA ESPERANZA, COMUNITARIO, LUIS EDUARDO CUELLA, 7 DE AGOSTO, VILLA FATIMA, RANCHERIA LOS OLIVOS MANO DE DIOS.  EN ESPERA DE CENSOS. </t>
    </r>
    <r>
      <rPr>
        <b/>
        <sz val="9"/>
        <rFont val="Arial"/>
        <family val="2"/>
      </rPr>
      <t>EL VALOR DE OTROS CORRESPONDE A UNA MOTOBOMBA DIESEL DE 8"</t>
    </r>
  </si>
  <si>
    <t>261
276
22777</t>
  </si>
  <si>
    <r>
      <t>DESBORDAMIENTO RIO SAN JORGE. CORREGIMIENTOS POTOSI, MUCURA, SANTA ROSA. REPORTE TELEFONICO DEL CREPAD. ZONA URBANO : CAÑO CALDAS, CALLEJON FAISAN, DIVINO NIÑO, LOS HOYOS, B. OSPINA PEREZ, CALLE BOGOTA, CALLE LAS FLORES, CALLE SAN ISIDRO MERCADO, CALLE SANTA BARBARA, CALLE EL POZON, LAS BRISAS, EL CASTILLO, SAN JOSE, LOMA LINDA. 
RURAL: VEREDA BOCA DE PINTO, VEREDA SEHEBE, VEREDA PESCAO 1, CAÑO PESCADO 2, VEREDA CARACOLI, VEREDA AGUAS CLARA, VEREDA ALFONSO LOPEZ, VEREDA LOS NIDOS, VEREDA EL CAIRO, VEREDA GAMBA, VEREDA CAÑO PRIETO, VEREDA CAÑO MUÑOZ, VEREDA CAÑO HONDO,VEREDA CAÑO BARRO, VEREDA BARBA MONO, VEREDA PARCELAS DE LA GLORIAS, VEREDA PAPAYO,VEREDA LAS PALMAS, VEREDA SANTA ROSA, TOTUMO MEDIO, VEREDA LA LUCHA, VEREDA LA VALSA, VEREDA EL ORIENTE, VEREDA KOREA,VEREDA CAÑO PRIETO,VEREDA CECILIA  para un total de 2.250 familias afectadas.</t>
    </r>
    <r>
      <rPr>
        <b/>
        <sz val="9"/>
        <rFont val="Arial"/>
        <family val="2"/>
      </rPr>
      <t xml:space="preserve"> EL VALOR DE OTROS CORRESPONDE A 200 CHALECOS SALVAVIDAS PARA LOS COLEGIOS</t>
    </r>
    <r>
      <rPr>
        <sz val="9"/>
        <rFont val="Arial"/>
        <family val="2"/>
      </rPr>
      <t xml:space="preserve">
</t>
    </r>
  </si>
  <si>
    <t>SE APOYA TENIENDO EN CUENTA LA MAGNITUD DE LA EMERGENICA.</t>
  </si>
  <si>
    <t>PUERTO CAICEDO</t>
  </si>
  <si>
    <t>BARRIOS PALERMO, CENTRO, SANTA BARBARA, MODELO DE PAZ, REPORTE DE LA DEFESNA CIVIL.</t>
  </si>
  <si>
    <t>ORITO</t>
  </si>
  <si>
    <t>VEREDA EL AZUL, REPROTE DE LA DEFENSA CIVIL.</t>
  </si>
  <si>
    <t>SECTOR URBANO REPORTE DEL CREPAD.</t>
  </si>
  <si>
    <t>CHIVOLO</t>
  </si>
  <si>
    <r>
      <t>DESBORDAMEINTO RIO MANZANARES. BARRIOS MALVINAS, SIMON BOLIVAR, LAS VEGAS, VILLA UP, SALAMANCA, 8 DE FEBRERO, TAYRONA ALTA, TAYRONA BAJA, BULEVAR EDL RIO, MARIA EUGENIA, LA ESMERALDA, VILLA DEL CARMEN, SANTA ANA, PAMPLONITA, REPORTE DEL CLOPAD Y LA DEFENSA CIVIL.</t>
    </r>
    <r>
      <rPr>
        <b/>
        <sz val="9"/>
        <rFont val="Arial"/>
        <family val="2"/>
      </rPr>
      <t xml:space="preserve"> EL VALOR DE OTROS CORREPONDE A 1 MOTOBOMBA DE 4"X4" Y UNA MOTOBOMBA DE 6"X6"</t>
    </r>
  </si>
  <si>
    <t>LA PLAYA</t>
  </si>
  <si>
    <t>LOURDES</t>
  </si>
  <si>
    <t>EL PLAYON</t>
  </si>
  <si>
    <t>DESBORDAMIENTO QUEBRADA LA VULGARITA. REPORTE DEL CREPAD</t>
  </si>
  <si>
    <t>VEREDA LA PRIMAVERA SECTOR LA CARRILERA REPORTE DEL CREPAD.</t>
  </si>
  <si>
    <t>DESBORDAMIENTO RIO CAUCA REPORTE DEL CREPAD</t>
  </si>
  <si>
    <t>VEREDA SAN ANDRES. REPORTE DEL CREPAD</t>
  </si>
  <si>
    <t>CORREGIMIENTO LA DANTA SECTOR SAN FRANCISCO BARRIOS LA MIRA, Y SAN FRANCISCO. REPORTE DEL CREPAD.</t>
  </si>
  <si>
    <t>HACIENDA EL PORVENIR. REPORTE DEL CLOPAD</t>
  </si>
  <si>
    <t xml:space="preserve">CORREGIMINTO QUEBRADA NEGRA. REPORTE DEL CREPAD </t>
  </si>
  <si>
    <t>CORREGIMIENTO PELECHUA, REPORTE DEL CLOPAD</t>
  </si>
  <si>
    <t>LOCALIDAD CIUDAD BOLIVAR. BARRIO ARBORIZADORA ALTA. REPORTE DEPAE</t>
  </si>
  <si>
    <t>CHOACHI</t>
  </si>
  <si>
    <t>VIA BOGOTA - CHOACHI.</t>
  </si>
  <si>
    <t>LOCALIDAD CIUDAD BOLIVAR. BARRIO ARABIA.</t>
  </si>
  <si>
    <t>LOCALIDAD USAQUEN BARRIO HORIZONTE. REPORTE DE LA DEFENSA CIVIL.</t>
  </si>
  <si>
    <t>DESBORDAMIENTO QUEBRADA GUANENTA. VEREDA GUANENETA (1 MUERTO). VEREDA EL PINO (2 MUERTOS). REPORTE DEL CREPAD Y CLOPAD.</t>
  </si>
  <si>
    <t>BARRIOS NAZARETH, LA TIJERA, BARRANTIAL, PUENTE MAREIGUA, ESPERANZA, SANTAFE, BARRIO CRISTALINA.REPORTE PRELIMINAR DEL CREPAD.</t>
  </si>
  <si>
    <t>CORREGIMIENTO MAJAYURA,  VEREDA VILLADIANA DESBOPRDAMIENTO QUEBRADA PARAGUACHON.</t>
  </si>
  <si>
    <t>CIUDAD BOLIVAR</t>
  </si>
  <si>
    <t>FUERTES LLUVIAS. REPORTE DE LA DEFENSA CIVIL.</t>
  </si>
  <si>
    <t>VENADILLO</t>
  </si>
  <si>
    <t>PAZ DE ARIPORO</t>
  </si>
  <si>
    <t>CASABIANCA</t>
  </si>
  <si>
    <t>MARIQUITA</t>
  </si>
  <si>
    <t>FRESNO</t>
  </si>
  <si>
    <t>GUADUAS</t>
  </si>
  <si>
    <t>DESLIZAMIENTO SOBRE PUENTE DEL RIO CONSOTA.</t>
  </si>
  <si>
    <t>BALBOA</t>
  </si>
  <si>
    <t>VEREDA LA ESPRIELLA. REPORTE DE LA DEFENSA CIVIL.</t>
  </si>
  <si>
    <t>ASTREA</t>
  </si>
  <si>
    <t>DESBORDAMIENTO RIO CUSIANA VEREDAS MATA DE PIÑA Y LAS ISLAS.</t>
  </si>
  <si>
    <t>BARRIOS 10 DE ENERO, PALMAR Y SIETE DE JULIO. PENDIENTE AFECTACION. REPORTE DEL CREPAD.</t>
  </si>
  <si>
    <t>VEREDAS ZAPAUA, UCUENGA, UCUACA, NAZARETH, GUAQUIRA, CHAMEZA, VIA NOBSA.</t>
  </si>
  <si>
    <t>TIBASOSA</t>
  </si>
  <si>
    <t>MONIQUIRA</t>
  </si>
  <si>
    <t>BARRIO COLINAS BAJO</t>
  </si>
  <si>
    <t>ANCIANATO AFECTADO DAÑOS EN ENSERES.</t>
  </si>
  <si>
    <t>293
23928
24652
23931
26476</t>
  </si>
  <si>
    <t>274
26468</t>
  </si>
  <si>
    <t xml:space="preserve">                                 </t>
  </si>
  <si>
    <t>CASCO URBANO.</t>
  </si>
  <si>
    <t xml:space="preserve">SECTOR DE LOMA LINDA. </t>
  </si>
  <si>
    <t>DESBORDAMIENTO RIOS JURADO Y APARTADO. AFCTO COMUNIDADES INDIGENAS. SANTA RITA, CUMARACARA, PAPATO, BUENAVISTA, DOS BOCAS, CEDRAL.</t>
  </si>
  <si>
    <t>UN VEHICULO AFECTADO</t>
  </si>
  <si>
    <t>SITIO VEREDA EL PALMAR.</t>
  </si>
  <si>
    <t>REPORTE DE LA DEFENSA CIVIL. SE EVACUARON 7 FAMILIAS.</t>
  </si>
  <si>
    <t>EL CAIRO</t>
  </si>
  <si>
    <t>VIJES</t>
  </si>
  <si>
    <t>PAMPLONITA</t>
  </si>
  <si>
    <t>SANTIAGO</t>
  </si>
  <si>
    <t>SILOS</t>
  </si>
  <si>
    <t>BAJO BAUDO</t>
  </si>
  <si>
    <t>REPORTE DE MAVDT</t>
  </si>
  <si>
    <t>REPROTE DE LA DEFENSA CIVIL</t>
  </si>
  <si>
    <t>SOTARA</t>
  </si>
  <si>
    <t>42927
46940</t>
  </si>
  <si>
    <t xml:space="preserve">APOYO DEL FNC MEDIANTE GIRO DIRECTO AL CLOAPD PARA LA ADQUISICON DE COMBUSTIBLEPARA LOS TRABAJOS DE PROTECCION Y REALCE DEL DIQUE QUE PROTEGE EL DISTRITO DE RIEGO.- SEGUNDO GIRO DIRECTO APOYO DEL FNC MEDIANTE GIRO DIRECTO AL CLOPAD PARA RECUPERACION DE VIAS,CON ALQUILER DE  MAQUINARIA Y COMBUSTIBLE </t>
  </si>
  <si>
    <t>EL MOLINO</t>
  </si>
  <si>
    <t>REPROTE DEL CLOPAD</t>
  </si>
  <si>
    <t>PACORA</t>
  </si>
  <si>
    <t>CRECIENTE SUBITA</t>
  </si>
  <si>
    <t>DESBOPRDAMIENTO RIO MAGDALENA. CORREGIMIENTO TACAMOCHO . APOYO DEL FNC MEDIANTE GIRO DIRECTO AL CLOPAD PARA COMBUSTIBLE PARA MOTOBOMBASEN LOS CORREGIMIENTOS DE TACAMOCHO, SAN ADREAS, TACAMOCHITO,. SANTA  LUCIA, Y CABECEA MUNICIPAL (4O MILONES) Y MADERA PARA LA FABRICACION DE ALBERGUES (20 MILONES.</t>
  </si>
  <si>
    <t>22145
22705
26762</t>
  </si>
  <si>
    <t>APOYO DEL FNC MEDIANTE GIRO DIRECTO AL CLOPAD PARA ADQUISICION DE COMBUSTIBLE, ACEITE Y MANENIMIENTO DE TRES MOTOBOMBAS.</t>
  </si>
  <si>
    <t>266
25673</t>
  </si>
  <si>
    <t xml:space="preserve">DESBORDAMIENTO QUEBRADA LAS CAMELIAS, REPORTE DE LA DEFENSA CIVIL, BARRIO LAS CAMELIAS </t>
  </si>
  <si>
    <t>EVACUADA LA POBLACION</t>
  </si>
  <si>
    <t>SUAN</t>
  </si>
  <si>
    <t xml:space="preserve">ROMPIMIENTO CANAL DEL DIQUE. </t>
  </si>
  <si>
    <t>APARTADO</t>
  </si>
  <si>
    <t xml:space="preserve">REPROTE DE LA DEFENSA CIVIL CORREGIMEINTO EL REPOSO.DESBORDAMIENTO RIO VIJAGUAL. </t>
  </si>
  <si>
    <t>MONTEBELLO</t>
  </si>
  <si>
    <t>CORREGIMIENTO VERSALLES, REPORTE DE LA DEFENSA CIVIL</t>
  </si>
  <si>
    <t>CORREGIMIENTO GAMBOTE. REPORTE DE LA DEFENSA CIVIL. DESBORDAMIENTO CANAL DEL DIQUE.</t>
  </si>
  <si>
    <t>DESBORDAMIENTO RIO GUABAS Y QUEBRADA LA MARIA. CORREMIENTO COSTARICA, VEREDA CAMPO ALEGRE, EL JARDIN Y PORTUGAL, CORREGIMEINTO RREGADEROS Y VEREDA VILLAVANEGAS. REPORTE DEL CREPAD</t>
  </si>
  <si>
    <t>DESBORDAMIENTO RIO CAUCA, CORREGIMIENTO VILLA PAZ, BOCAS DEL PALO. REPORTE DE LA DEFENSA CIVIL</t>
  </si>
  <si>
    <t>CASCO URBANO, REPORTE DE LA DEFENSA CIVIL</t>
  </si>
  <si>
    <t>CAREPA</t>
  </si>
  <si>
    <t>CASCO URBANO. DESBORDAMIENTO RIOS CAREPA Y LEOPN. REPROTE DE LA DEFENSA CIVIL</t>
  </si>
  <si>
    <t xml:space="preserve">REPORTE DE LA DEFENSA CIVIL. DESBORDAMIENTO RIO LOS CORDOBAS BARRIOS EL MAMEY, EL OASIS, LAS FLORES, VEREDA GALILEA. </t>
  </si>
  <si>
    <t>DESBORDAMIENTO RIO LOS VOLCAN. REPROTE DE LA DEFENSA CIVIL, SITIO OPUENTE SAN ISIDRO.</t>
  </si>
  <si>
    <t>REPORTE EL CREPAD.</t>
  </si>
  <si>
    <t>CRECIENTE RIO ATRATO REPORTE DE CRUZ ROJA</t>
  </si>
  <si>
    <t>ZONA RURAL EN 24 CORREGIMIENTOS. RPORTE DE LA EFENSA CIVIL. DESBORDAMIENTO RIO SINU Y CAÑO EL BAGRE.</t>
  </si>
  <si>
    <t xml:space="preserve">VEREDA SICUETA. RIO SAN JAUN AFECTADA COMUNIDAD INDIGENA Y AVALANCHA QUEBRADA PLAYA BONITA. </t>
  </si>
  <si>
    <t>Total AMAZONAS</t>
  </si>
  <si>
    <t>Total ANTIOQUIA</t>
  </si>
  <si>
    <t>Total ARAUCA</t>
  </si>
  <si>
    <t>Total ATLANTICO</t>
  </si>
  <si>
    <t>Total BOGOTA D.C.</t>
  </si>
  <si>
    <t>Total BOLIVAR</t>
  </si>
  <si>
    <t>Total BOYACA</t>
  </si>
  <si>
    <t>Total CALDAS</t>
  </si>
  <si>
    <t>Total CAQUETA</t>
  </si>
  <si>
    <t>Total CASANARE</t>
  </si>
  <si>
    <t>Total CAUCA</t>
  </si>
  <si>
    <t>Total CESAR</t>
  </si>
  <si>
    <t>Total CHOCO</t>
  </si>
  <si>
    <t>Total CORDOBA</t>
  </si>
  <si>
    <t>Total CUNDINAMARCA</t>
  </si>
  <si>
    <t>Total GUAJIRA</t>
  </si>
  <si>
    <t>Total GUAVIARE</t>
  </si>
  <si>
    <t>Total HUILA</t>
  </si>
  <si>
    <t>Total MAGDALENA</t>
  </si>
  <si>
    <t>Total META</t>
  </si>
  <si>
    <t>Total NARIÑO</t>
  </si>
  <si>
    <t>Total NORTE DE SANTANDER</t>
  </si>
  <si>
    <t>Total PUTUMAYO</t>
  </si>
  <si>
    <t>Total QUINDIO</t>
  </si>
  <si>
    <t>Total RISARALDA</t>
  </si>
  <si>
    <t>Total SANTANDER</t>
  </si>
  <si>
    <t>Total SUCRE</t>
  </si>
  <si>
    <t>Total TOLIMA</t>
  </si>
  <si>
    <t>Total VALLE DEL CAUCA</t>
  </si>
  <si>
    <t>AFECTADOS 695 MUNICIPIOS EN 28 DEPARTAMENTOS  Y EL DISTRITO CAPITAL</t>
  </si>
</sst>
</file>

<file path=xl/styles.xml><?xml version="1.0" encoding="utf-8"?>
<styleSheet xmlns="http://schemas.openxmlformats.org/spreadsheetml/2006/main">
  <numFmts count="6">
    <numFmt numFmtId="43" formatCode="_(* #,##0.00_);_(* \(#,##0.00\);_(* &quot;-&quot;??_);_(@_)"/>
    <numFmt numFmtId="164" formatCode="dd\-mmm\-\y\y"/>
    <numFmt numFmtId="165" formatCode="&quot;$&quot;#,##0.00"/>
    <numFmt numFmtId="166" formatCode="&quot;$&quot;#,##0.0"/>
    <numFmt numFmtId="167" formatCode="#,##0.0"/>
    <numFmt numFmtId="168" formatCode="&quot;$&quot;\ #,##0"/>
  </numFmts>
  <fonts count="17">
    <font>
      <sz val="10"/>
      <name val="Arial"/>
    </font>
    <font>
      <sz val="10"/>
      <name val="Arial"/>
    </font>
    <font>
      <b/>
      <sz val="10"/>
      <name val="Arial"/>
      <family val="2"/>
    </font>
    <font>
      <sz val="8"/>
      <name val="Arial"/>
      <family val="2"/>
    </font>
    <font>
      <b/>
      <sz val="12"/>
      <name val="Arial"/>
      <family val="2"/>
    </font>
    <font>
      <b/>
      <sz val="8"/>
      <name val="Arial"/>
      <family val="2"/>
    </font>
    <font>
      <sz val="6"/>
      <name val="Arial"/>
      <family val="2"/>
    </font>
    <font>
      <b/>
      <sz val="14"/>
      <name val="Arial"/>
      <family val="2"/>
    </font>
    <font>
      <b/>
      <sz val="9"/>
      <name val="Arial"/>
      <family val="2"/>
    </font>
    <font>
      <b/>
      <sz val="11"/>
      <name val="Arial"/>
      <family val="2"/>
    </font>
    <font>
      <b/>
      <i/>
      <sz val="9"/>
      <name val="Arial"/>
      <family val="2"/>
    </font>
    <font>
      <sz val="9"/>
      <name val="Arial"/>
      <family val="2"/>
    </font>
    <font>
      <sz val="10"/>
      <name val="Arial"/>
      <family val="2"/>
    </font>
    <font>
      <sz val="10"/>
      <name val="Arial"/>
      <family val="2"/>
    </font>
    <font>
      <i/>
      <sz val="8"/>
      <name val="Arial"/>
      <family val="2"/>
    </font>
    <font>
      <sz val="10"/>
      <color indexed="10"/>
      <name val="Arial"/>
      <family val="2"/>
    </font>
    <font>
      <sz val="7"/>
      <name val="Arial"/>
      <family val="2"/>
    </font>
  </fonts>
  <fills count="12">
    <fill>
      <patternFill patternType="none"/>
    </fill>
    <fill>
      <patternFill patternType="gray125"/>
    </fill>
    <fill>
      <patternFill patternType="solid">
        <fgColor indexed="46"/>
        <bgColor indexed="64"/>
      </patternFill>
    </fill>
    <fill>
      <patternFill patternType="gray0625">
        <bgColor indexed="11"/>
      </patternFill>
    </fill>
    <fill>
      <patternFill patternType="gray0625">
        <bgColor indexed="15"/>
      </patternFill>
    </fill>
    <fill>
      <patternFill patternType="solid">
        <fgColor indexed="53"/>
        <bgColor indexed="64"/>
      </patternFill>
    </fill>
    <fill>
      <patternFill patternType="solid">
        <fgColor indexed="10"/>
        <bgColor indexed="64"/>
      </patternFill>
    </fill>
    <fill>
      <patternFill patternType="gray0625">
        <bgColor indexed="3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s>
  <borders count="36">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8">
    <xf numFmtId="0" fontId="0" fillId="0" borderId="0" xfId="0"/>
    <xf numFmtId="15" fontId="3" fillId="0" borderId="1" xfId="0" applyNumberFormat="1" applyFont="1" applyBorder="1" applyAlignment="1">
      <alignment horizontal="justify" vertical="top"/>
    </xf>
    <xf numFmtId="0" fontId="0" fillId="0" borderId="0" xfId="0" applyAlignment="1">
      <alignment horizontal="justify" vertical="justify"/>
    </xf>
    <xf numFmtId="3" fontId="3" fillId="0" borderId="2" xfId="0" applyNumberFormat="1" applyFont="1" applyBorder="1" applyAlignment="1">
      <alignment horizontal="justify" vertical="justify"/>
    </xf>
    <xf numFmtId="3" fontId="3" fillId="0" borderId="3" xfId="0" applyNumberFormat="1" applyFont="1" applyBorder="1" applyAlignment="1">
      <alignment horizontal="justify" vertical="justify"/>
    </xf>
    <xf numFmtId="3" fontId="3" fillId="0" borderId="4" xfId="0" applyNumberFormat="1" applyFont="1" applyBorder="1" applyAlignment="1">
      <alignment horizontal="justify" vertical="justify"/>
    </xf>
    <xf numFmtId="0" fontId="0" fillId="0" borderId="5" xfId="0" applyBorder="1" applyAlignment="1">
      <alignment horizontal="justify" vertical="justify"/>
    </xf>
    <xf numFmtId="3" fontId="0" fillId="0" borderId="5" xfId="0" applyNumberFormat="1" applyBorder="1" applyAlignment="1">
      <alignment horizontal="justify" vertical="justify"/>
    </xf>
    <xf numFmtId="167" fontId="3" fillId="0" borderId="6" xfId="0" applyNumberFormat="1" applyFont="1" applyBorder="1" applyAlignment="1">
      <alignment horizontal="justify" vertical="justify"/>
    </xf>
    <xf numFmtId="0" fontId="0" fillId="0" borderId="7" xfId="0" applyBorder="1" applyAlignment="1">
      <alignment horizontal="justify" vertical="justify"/>
    </xf>
    <xf numFmtId="3" fontId="0" fillId="0" borderId="8" xfId="0" applyNumberFormat="1" applyBorder="1" applyAlignment="1">
      <alignment horizontal="justify" vertical="justify"/>
    </xf>
    <xf numFmtId="0" fontId="0" fillId="0" borderId="1" xfId="0" applyBorder="1" applyAlignment="1">
      <alignment horizontal="justify" vertical="justify"/>
    </xf>
    <xf numFmtId="3" fontId="0" fillId="0" borderId="9" xfId="0" applyNumberFormat="1" applyBorder="1" applyAlignment="1">
      <alignment horizontal="justify" vertical="justify"/>
    </xf>
    <xf numFmtId="164" fontId="7" fillId="0" borderId="0" xfId="0" applyNumberFormat="1" applyFont="1" applyBorder="1" applyAlignment="1">
      <alignment horizontal="justify" vertical="justify"/>
    </xf>
    <xf numFmtId="3" fontId="5" fillId="0" borderId="0" xfId="0" applyNumberFormat="1" applyFont="1" applyBorder="1" applyAlignment="1">
      <alignment horizontal="justify" vertical="justify"/>
    </xf>
    <xf numFmtId="164" fontId="0" fillId="0" borderId="0" xfId="0" applyNumberFormat="1" applyAlignment="1">
      <alignment horizontal="justify" vertical="justify"/>
    </xf>
    <xf numFmtId="0" fontId="2" fillId="0" borderId="0" xfId="0" applyFont="1" applyAlignment="1">
      <alignment horizontal="justify" vertical="justify"/>
    </xf>
    <xf numFmtId="165" fontId="0" fillId="0" borderId="0" xfId="0" applyNumberFormat="1" applyAlignment="1">
      <alignment horizontal="justify" vertical="justify"/>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center" vertical="justify"/>
    </xf>
    <xf numFmtId="0" fontId="2" fillId="2" borderId="10" xfId="0" applyFont="1" applyFill="1" applyBorder="1" applyAlignment="1">
      <alignment horizontal="center" vertical="justify"/>
    </xf>
    <xf numFmtId="3" fontId="0" fillId="0" borderId="0" xfId="0" applyNumberFormat="1" applyAlignment="1">
      <alignment horizontal="justify" vertical="justify"/>
    </xf>
    <xf numFmtId="15" fontId="3" fillId="0" borderId="8" xfId="0" applyNumberFormat="1" applyFont="1" applyBorder="1" applyAlignment="1">
      <alignment horizontal="center" vertical="top"/>
    </xf>
    <xf numFmtId="3" fontId="5" fillId="0" borderId="0" xfId="0" applyNumberFormat="1" applyFont="1" applyBorder="1" applyAlignment="1">
      <alignment horizontal="center" vertical="justify"/>
    </xf>
    <xf numFmtId="3" fontId="0" fillId="0" borderId="0" xfId="0" applyNumberFormat="1" applyAlignment="1">
      <alignment horizontal="center" vertical="justify"/>
    </xf>
    <xf numFmtId="3" fontId="0" fillId="0" borderId="1" xfId="0" applyNumberFormat="1" applyBorder="1" applyAlignment="1">
      <alignment horizontal="justify" vertical="justify"/>
    </xf>
    <xf numFmtId="0" fontId="0" fillId="0" borderId="0" xfId="0" applyBorder="1"/>
    <xf numFmtId="3" fontId="8" fillId="0" borderId="0" xfId="0" applyNumberFormat="1" applyFont="1" applyBorder="1" applyAlignment="1">
      <alignment horizontal="justify" vertical="justify"/>
    </xf>
    <xf numFmtId="3" fontId="2" fillId="0" borderId="0" xfId="0" applyNumberFormat="1" applyFont="1" applyBorder="1" applyAlignment="1">
      <alignment horizontal="justify" vertical="justify"/>
    </xf>
    <xf numFmtId="4" fontId="8" fillId="0" borderId="0" xfId="0" applyNumberFormat="1" applyFont="1" applyBorder="1" applyAlignment="1">
      <alignment horizontal="justify" vertical="justify"/>
    </xf>
    <xf numFmtId="4" fontId="2" fillId="0" borderId="0" xfId="0" applyNumberFormat="1" applyFont="1" applyAlignment="1">
      <alignment horizontal="justify" vertical="justify"/>
    </xf>
    <xf numFmtId="0" fontId="1" fillId="0" borderId="0" xfId="0" applyFont="1" applyBorder="1"/>
    <xf numFmtId="0" fontId="1" fillId="0" borderId="0" xfId="0" applyFont="1" applyAlignment="1">
      <alignment horizontal="justify" vertical="justify"/>
    </xf>
    <xf numFmtId="168" fontId="10" fillId="3" borderId="11" xfId="0" applyNumberFormat="1" applyFont="1" applyFill="1" applyBorder="1" applyAlignment="1">
      <alignment horizontal="center" vertical="justify"/>
    </xf>
    <xf numFmtId="168" fontId="10" fillId="0" borderId="0" xfId="0" applyNumberFormat="1" applyFont="1" applyAlignment="1">
      <alignment horizontal="justify" vertical="justify"/>
    </xf>
    <xf numFmtId="0" fontId="8" fillId="4" borderId="12" xfId="0" applyFont="1" applyFill="1" applyBorder="1" applyAlignment="1">
      <alignment horizontal="center" vertical="justify"/>
    </xf>
    <xf numFmtId="0" fontId="8" fillId="4" borderId="13" xfId="0" applyFont="1" applyFill="1" applyBorder="1" applyAlignment="1">
      <alignment horizontal="center" vertical="justify"/>
    </xf>
    <xf numFmtId="165" fontId="8" fillId="4" borderId="13" xfId="0" applyNumberFormat="1" applyFont="1" applyFill="1" applyBorder="1" applyAlignment="1">
      <alignment horizontal="center" vertical="justify"/>
    </xf>
    <xf numFmtId="165" fontId="8" fillId="4" borderId="14" xfId="0" applyNumberFormat="1" applyFont="1" applyFill="1" applyBorder="1" applyAlignment="1">
      <alignment horizontal="center" vertical="justify"/>
    </xf>
    <xf numFmtId="0" fontId="8" fillId="3" borderId="12" xfId="0" applyFont="1" applyFill="1" applyBorder="1" applyAlignment="1">
      <alignment horizontal="center" vertical="justify"/>
    </xf>
    <xf numFmtId="0" fontId="8" fillId="3" borderId="13" xfId="0" applyFont="1" applyFill="1" applyBorder="1" applyAlignment="1">
      <alignment horizontal="center" vertical="justify"/>
    </xf>
    <xf numFmtId="0" fontId="8" fillId="3" borderId="14" xfId="0" applyFont="1" applyFill="1" applyBorder="1" applyAlignment="1">
      <alignment horizontal="center" vertical="justify"/>
    </xf>
    <xf numFmtId="0" fontId="8" fillId="3" borderId="15" xfId="0" applyFont="1" applyFill="1" applyBorder="1" applyAlignment="1">
      <alignment horizontal="center" vertical="justify"/>
    </xf>
    <xf numFmtId="0" fontId="8" fillId="2" borderId="16" xfId="0" applyFont="1" applyFill="1" applyBorder="1" applyAlignment="1">
      <alignment horizontal="center" vertical="justify"/>
    </xf>
    <xf numFmtId="0" fontId="8" fillId="2" borderId="16" xfId="0" applyFont="1" applyFill="1" applyBorder="1" applyAlignment="1">
      <alignment horizontal="center" vertical="justify" wrapText="1"/>
    </xf>
    <xf numFmtId="0" fontId="8" fillId="2" borderId="17" xfId="0" applyFont="1" applyFill="1" applyBorder="1" applyAlignment="1">
      <alignment horizontal="center" vertical="justify" wrapText="1"/>
    </xf>
    <xf numFmtId="0" fontId="8" fillId="2" borderId="18" xfId="0" applyFont="1" applyFill="1" applyBorder="1" applyAlignment="1">
      <alignment horizontal="center" vertical="justify" wrapText="1"/>
    </xf>
    <xf numFmtId="0" fontId="8" fillId="2" borderId="19" xfId="0" applyFont="1" applyFill="1" applyBorder="1" applyAlignment="1">
      <alignment horizontal="center" vertical="justify" wrapText="1"/>
    </xf>
    <xf numFmtId="0" fontId="8" fillId="2" borderId="20" xfId="0" applyFont="1" applyFill="1" applyBorder="1" applyAlignment="1">
      <alignment horizontal="center" vertical="justify" wrapText="1"/>
    </xf>
    <xf numFmtId="3" fontId="11" fillId="0" borderId="0" xfId="0" applyNumberFormat="1" applyFont="1" applyAlignment="1">
      <alignment horizontal="center" vertical="justify"/>
    </xf>
    <xf numFmtId="0" fontId="11" fillId="0" borderId="0" xfId="0" applyFont="1" applyAlignment="1">
      <alignment horizontal="center" vertical="justify"/>
    </xf>
    <xf numFmtId="0" fontId="11" fillId="0" borderId="0" xfId="0" applyFont="1" applyBorder="1" applyAlignment="1">
      <alignment horizontal="justify" vertical="justify"/>
    </xf>
    <xf numFmtId="0" fontId="8" fillId="5" borderId="21" xfId="0" applyFont="1" applyFill="1" applyBorder="1" applyAlignment="1">
      <alignment horizontal="center" vertical="justify"/>
    </xf>
    <xf numFmtId="15" fontId="3" fillId="0" borderId="22" xfId="0" applyNumberFormat="1" applyFont="1" applyBorder="1" applyAlignment="1">
      <alignment horizontal="center" vertical="top"/>
    </xf>
    <xf numFmtId="1" fontId="8" fillId="5" borderId="21" xfId="0" applyNumberFormat="1" applyFont="1" applyFill="1" applyBorder="1" applyAlignment="1">
      <alignment horizontal="center" vertical="justify"/>
    </xf>
    <xf numFmtId="1" fontId="5" fillId="0" borderId="0" xfId="0" applyNumberFormat="1" applyFont="1" applyBorder="1" applyAlignment="1">
      <alignment horizontal="justify" vertical="justify"/>
    </xf>
    <xf numFmtId="1" fontId="0" fillId="0" borderId="0" xfId="0" applyNumberFormat="1" applyAlignment="1">
      <alignment horizontal="justify" vertical="justify"/>
    </xf>
    <xf numFmtId="1" fontId="5" fillId="5" borderId="21" xfId="0" applyNumberFormat="1" applyFont="1" applyFill="1" applyBorder="1" applyAlignment="1">
      <alignment horizontal="center" vertical="justify"/>
    </xf>
    <xf numFmtId="1" fontId="3" fillId="0" borderId="22" xfId="0" applyNumberFormat="1" applyFont="1" applyBorder="1" applyAlignment="1">
      <alignment horizontal="center" vertical="top"/>
    </xf>
    <xf numFmtId="1" fontId="3" fillId="0" borderId="8" xfId="0" applyNumberFormat="1" applyFont="1" applyBorder="1" applyAlignment="1">
      <alignment horizontal="center" vertical="top"/>
    </xf>
    <xf numFmtId="1" fontId="5" fillId="0" borderId="0" xfId="0" applyNumberFormat="1" applyFont="1" applyBorder="1" applyAlignment="1">
      <alignment horizontal="center" vertical="justify"/>
    </xf>
    <xf numFmtId="1" fontId="0" fillId="0" borderId="0" xfId="0" applyNumberFormat="1" applyAlignment="1">
      <alignment horizontal="center" vertical="justify"/>
    </xf>
    <xf numFmtId="15" fontId="3" fillId="0" borderId="4" xfId="0" applyNumberFormat="1" applyFont="1" applyBorder="1" applyAlignment="1">
      <alignment horizontal="justify" vertical="top"/>
    </xf>
    <xf numFmtId="1" fontId="3" fillId="0" borderId="4" xfId="0" applyNumberFormat="1" applyFont="1" applyBorder="1" applyAlignment="1">
      <alignment horizontal="center" vertical="top"/>
    </xf>
    <xf numFmtId="15" fontId="3" fillId="0" borderId="3" xfId="0" applyNumberFormat="1" applyFont="1" applyBorder="1" applyAlignment="1">
      <alignment horizontal="justify" vertical="top"/>
    </xf>
    <xf numFmtId="3" fontId="13" fillId="0" borderId="5" xfId="0" applyNumberFormat="1" applyFont="1" applyBorder="1" applyAlignment="1">
      <alignment wrapText="1"/>
    </xf>
    <xf numFmtId="3" fontId="13" fillId="0" borderId="8" xfId="0" applyNumberFormat="1" applyFont="1" applyBorder="1" applyAlignment="1">
      <alignment wrapText="1"/>
    </xf>
    <xf numFmtId="166" fontId="3" fillId="0" borderId="5" xfId="0" applyNumberFormat="1" applyFont="1" applyBorder="1" applyAlignment="1">
      <alignment horizontal="right" vertical="top"/>
    </xf>
    <xf numFmtId="166" fontId="3" fillId="0" borderId="23" xfId="0" applyNumberFormat="1" applyFont="1" applyBorder="1" applyAlignment="1">
      <alignment horizontal="right" vertical="top"/>
    </xf>
    <xf numFmtId="166" fontId="14" fillId="0" borderId="24" xfId="0" applyNumberFormat="1" applyFont="1" applyBorder="1" applyAlignment="1">
      <alignment horizontal="right" vertical="top"/>
    </xf>
    <xf numFmtId="1" fontId="3" fillId="0" borderId="3" xfId="0" applyNumberFormat="1" applyFont="1" applyBorder="1" applyAlignment="1">
      <alignment horizontal="right" vertical="top"/>
    </xf>
    <xf numFmtId="1" fontId="3" fillId="0" borderId="4" xfId="0" applyNumberFormat="1" applyFont="1" applyBorder="1" applyAlignment="1">
      <alignment horizontal="right" vertical="top"/>
    </xf>
    <xf numFmtId="0" fontId="11" fillId="0" borderId="9" xfId="0" applyFont="1" applyBorder="1" applyAlignment="1">
      <alignment vertical="top" wrapText="1"/>
    </xf>
    <xf numFmtId="0" fontId="11" fillId="0" borderId="4" xfId="0" applyFont="1" applyBorder="1" applyAlignment="1">
      <alignment vertical="top" wrapText="1"/>
    </xf>
    <xf numFmtId="1" fontId="3" fillId="0" borderId="8" xfId="0" applyNumberFormat="1" applyFont="1" applyBorder="1" applyAlignment="1">
      <alignment horizontal="center" vertical="top" wrapText="1"/>
    </xf>
    <xf numFmtId="1" fontId="3" fillId="0" borderId="4" xfId="0" applyNumberFormat="1" applyFont="1" applyBorder="1" applyAlignment="1">
      <alignment horizontal="center" vertical="top" wrapText="1"/>
    </xf>
    <xf numFmtId="0" fontId="11" fillId="0" borderId="8" xfId="0" applyFont="1" applyBorder="1" applyAlignment="1">
      <alignment vertical="top" wrapText="1"/>
    </xf>
    <xf numFmtId="15" fontId="3" fillId="0" borderId="9" xfId="0" applyNumberFormat="1" applyFont="1" applyBorder="1" applyAlignment="1">
      <alignment vertical="top" wrapText="1"/>
    </xf>
    <xf numFmtId="1" fontId="3" fillId="0" borderId="4" xfId="0" applyNumberFormat="1" applyFont="1" applyBorder="1" applyAlignment="1">
      <alignment horizontal="right" vertical="top" wrapText="1"/>
    </xf>
    <xf numFmtId="4" fontId="0" fillId="0" borderId="0" xfId="0" applyNumberFormat="1" applyAlignment="1">
      <alignment horizontal="justify" vertical="justify"/>
    </xf>
    <xf numFmtId="0" fontId="8" fillId="0" borderId="9" xfId="0" applyFont="1" applyBorder="1" applyAlignment="1">
      <alignment vertical="top" wrapText="1"/>
    </xf>
    <xf numFmtId="0" fontId="3" fillId="0" borderId="4" xfId="0" applyFont="1" applyBorder="1" applyAlignment="1">
      <alignment vertical="top" wrapText="1"/>
    </xf>
    <xf numFmtId="1" fontId="3" fillId="0" borderId="8" xfId="0" applyNumberFormat="1" applyFont="1" applyBorder="1" applyAlignment="1">
      <alignment horizontal="justify" vertical="top"/>
    </xf>
    <xf numFmtId="3" fontId="3" fillId="0" borderId="25" xfId="0" applyNumberFormat="1" applyFont="1" applyBorder="1" applyAlignment="1">
      <alignment horizontal="justify" vertical="justify"/>
    </xf>
    <xf numFmtId="3" fontId="1" fillId="0" borderId="0" xfId="0" applyNumberFormat="1" applyFont="1" applyAlignment="1">
      <alignment horizontal="justify" vertical="justify"/>
    </xf>
    <xf numFmtId="3" fontId="13" fillId="0" borderId="5" xfId="0" applyNumberFormat="1" applyFont="1" applyFill="1" applyBorder="1" applyAlignment="1">
      <alignment wrapText="1"/>
    </xf>
    <xf numFmtId="3" fontId="12" fillId="0" borderId="5" xfId="0" applyNumberFormat="1" applyFont="1" applyBorder="1" applyAlignment="1">
      <alignment wrapText="1"/>
    </xf>
    <xf numFmtId="43" fontId="0" fillId="0" borderId="0" xfId="1" applyFont="1" applyAlignment="1">
      <alignment horizontal="justify" vertical="justify"/>
    </xf>
    <xf numFmtId="15" fontId="3" fillId="0" borderId="1" xfId="0" applyNumberFormat="1" applyFont="1" applyBorder="1" applyAlignment="1">
      <alignment horizontal="justify" vertical="top" wrapText="1"/>
    </xf>
    <xf numFmtId="166" fontId="3" fillId="0" borderId="5" xfId="0" applyNumberFormat="1" applyFont="1" applyBorder="1" applyAlignment="1">
      <alignment horizontal="right" vertical="top" wrapText="1"/>
    </xf>
    <xf numFmtId="166" fontId="3" fillId="0" borderId="23" xfId="0" applyNumberFormat="1" applyFont="1" applyBorder="1" applyAlignment="1">
      <alignment horizontal="right" vertical="top" wrapText="1"/>
    </xf>
    <xf numFmtId="166" fontId="14" fillId="0" borderId="24" xfId="0" applyNumberFormat="1" applyFont="1" applyBorder="1" applyAlignment="1">
      <alignment horizontal="right" vertical="top" wrapText="1"/>
    </xf>
    <xf numFmtId="3" fontId="3" fillId="0" borderId="2" xfId="0" applyNumberFormat="1" applyFont="1" applyBorder="1" applyAlignment="1">
      <alignment horizontal="justify" vertical="justify" wrapText="1"/>
    </xf>
    <xf numFmtId="3" fontId="3" fillId="0" borderId="3" xfId="0" applyNumberFormat="1" applyFont="1" applyBorder="1" applyAlignment="1">
      <alignment horizontal="justify" vertical="justify" wrapText="1"/>
    </xf>
    <xf numFmtId="3" fontId="3" fillId="0" borderId="4" xfId="0" applyNumberFormat="1" applyFont="1" applyBorder="1" applyAlignment="1">
      <alignment horizontal="justify" vertical="justify" wrapText="1"/>
    </xf>
    <xf numFmtId="0" fontId="0" fillId="0" borderId="5" xfId="0" applyBorder="1" applyAlignment="1">
      <alignment horizontal="justify" vertical="justify" wrapText="1"/>
    </xf>
    <xf numFmtId="3" fontId="0" fillId="0" borderId="5" xfId="0" applyNumberFormat="1" applyBorder="1" applyAlignment="1">
      <alignment horizontal="justify" vertical="justify" wrapText="1"/>
    </xf>
    <xf numFmtId="167" fontId="3" fillId="0" borderId="6" xfId="0" applyNumberFormat="1" applyFont="1" applyBorder="1" applyAlignment="1">
      <alignment horizontal="justify" vertical="justify" wrapText="1"/>
    </xf>
    <xf numFmtId="0" fontId="0" fillId="0" borderId="7" xfId="0" applyBorder="1" applyAlignment="1">
      <alignment horizontal="justify" vertical="justify" wrapText="1"/>
    </xf>
    <xf numFmtId="3" fontId="0" fillId="0" borderId="8" xfId="0" applyNumberFormat="1" applyBorder="1" applyAlignment="1">
      <alignment horizontal="justify" vertical="justify" wrapText="1"/>
    </xf>
    <xf numFmtId="0" fontId="0" fillId="0" borderId="1" xfId="0" applyBorder="1" applyAlignment="1">
      <alignment horizontal="justify" vertical="justify" wrapText="1"/>
    </xf>
    <xf numFmtId="3" fontId="0" fillId="0" borderId="9" xfId="0" applyNumberFormat="1" applyBorder="1" applyAlignment="1">
      <alignment horizontal="justify" vertical="justify" wrapText="1"/>
    </xf>
    <xf numFmtId="3" fontId="0" fillId="0" borderId="1" xfId="0" applyNumberFormat="1" applyBorder="1" applyAlignment="1">
      <alignment horizontal="justify" vertical="justify" wrapText="1"/>
    </xf>
    <xf numFmtId="3" fontId="0" fillId="0" borderId="0" xfId="0" applyNumberFormat="1" applyAlignment="1">
      <alignment horizontal="justify" vertical="justify" wrapText="1"/>
    </xf>
    <xf numFmtId="3" fontId="13" fillId="0" borderId="5" xfId="0" applyNumberFormat="1" applyFont="1" applyBorder="1" applyAlignment="1">
      <alignment vertical="top"/>
    </xf>
    <xf numFmtId="3" fontId="13" fillId="0" borderId="8" xfId="0" applyNumberFormat="1" applyFont="1" applyBorder="1" applyAlignment="1">
      <alignment vertical="top"/>
    </xf>
    <xf numFmtId="3" fontId="3" fillId="0" borderId="2" xfId="0" applyNumberFormat="1" applyFont="1" applyBorder="1" applyAlignment="1">
      <alignment horizontal="justify" vertical="top"/>
    </xf>
    <xf numFmtId="3" fontId="3" fillId="0" borderId="3" xfId="0" applyNumberFormat="1" applyFont="1" applyBorder="1" applyAlignment="1">
      <alignment horizontal="justify" vertical="top"/>
    </xf>
    <xf numFmtId="3" fontId="3" fillId="0" borderId="4" xfId="0" applyNumberFormat="1" applyFont="1" applyBorder="1" applyAlignment="1">
      <alignment horizontal="justify" vertical="top"/>
    </xf>
    <xf numFmtId="0" fontId="0" fillId="0" borderId="5" xfId="0" applyBorder="1" applyAlignment="1">
      <alignment horizontal="justify" vertical="top"/>
    </xf>
    <xf numFmtId="3" fontId="0" fillId="0" borderId="5" xfId="0" applyNumberFormat="1" applyBorder="1" applyAlignment="1">
      <alignment horizontal="justify" vertical="top"/>
    </xf>
    <xf numFmtId="167" fontId="3" fillId="0" borderId="6" xfId="0" applyNumberFormat="1" applyFont="1" applyBorder="1" applyAlignment="1">
      <alignment horizontal="justify" vertical="top"/>
    </xf>
    <xf numFmtId="0" fontId="0" fillId="0" borderId="7" xfId="0" applyBorder="1" applyAlignment="1">
      <alignment horizontal="justify" vertical="top"/>
    </xf>
    <xf numFmtId="3" fontId="0" fillId="0" borderId="8" xfId="0" applyNumberFormat="1" applyBorder="1" applyAlignment="1">
      <alignment horizontal="justify" vertical="top"/>
    </xf>
    <xf numFmtId="0" fontId="0" fillId="0" borderId="1" xfId="0" applyBorder="1" applyAlignment="1">
      <alignment horizontal="justify" vertical="top"/>
    </xf>
    <xf numFmtId="3" fontId="0" fillId="0" borderId="9" xfId="0" applyNumberFormat="1" applyBorder="1" applyAlignment="1">
      <alignment horizontal="justify" vertical="top"/>
    </xf>
    <xf numFmtId="3" fontId="0" fillId="0" borderId="1" xfId="0" applyNumberFormat="1" applyBorder="1" applyAlignment="1">
      <alignment horizontal="justify" vertical="top"/>
    </xf>
    <xf numFmtId="3" fontId="0" fillId="0" borderId="0" xfId="0" applyNumberFormat="1" applyAlignment="1">
      <alignment horizontal="justify" vertical="top"/>
    </xf>
    <xf numFmtId="0" fontId="0" fillId="0" borderId="0" xfId="0" applyAlignment="1">
      <alignment horizontal="justify" vertical="top"/>
    </xf>
    <xf numFmtId="0" fontId="11" fillId="0" borderId="9" xfId="0" applyFont="1" applyBorder="1" applyAlignment="1">
      <alignment horizontal="justify" vertical="top" wrapText="1"/>
    </xf>
    <xf numFmtId="0" fontId="11" fillId="0" borderId="9" xfId="0" applyFont="1" applyBorder="1" applyAlignment="1">
      <alignment horizontal="justify" vertical="top"/>
    </xf>
    <xf numFmtId="0" fontId="11" fillId="0" borderId="0" xfId="0" applyFont="1" applyAlignment="1">
      <alignment horizontal="justify" vertical="top" wrapText="1"/>
    </xf>
    <xf numFmtId="3" fontId="3" fillId="0" borderId="25" xfId="0" applyNumberFormat="1" applyFont="1" applyBorder="1" applyAlignment="1">
      <alignment horizontal="justify" vertical="top"/>
    </xf>
    <xf numFmtId="15" fontId="3" fillId="0" borderId="8" xfId="0" applyNumberFormat="1" applyFont="1" applyBorder="1" applyAlignment="1">
      <alignment horizontal="justify" vertical="top"/>
    </xf>
    <xf numFmtId="0" fontId="8" fillId="0" borderId="9" xfId="0" applyFont="1" applyBorder="1" applyAlignment="1">
      <alignment horizontal="justify" vertical="top"/>
    </xf>
    <xf numFmtId="3" fontId="12" fillId="0" borderId="0" xfId="0" applyNumberFormat="1" applyFont="1" applyAlignment="1">
      <alignment horizontal="justify" vertical="top"/>
    </xf>
    <xf numFmtId="0" fontId="8" fillId="5" borderId="17" xfId="0" applyFont="1" applyFill="1" applyBorder="1" applyAlignment="1">
      <alignment horizontal="center" vertical="top" wrapText="1"/>
    </xf>
    <xf numFmtId="0" fontId="12" fillId="0" borderId="0" xfId="0" applyFont="1" applyAlignment="1">
      <alignment horizontal="justify" vertical="justify"/>
    </xf>
    <xf numFmtId="0" fontId="11" fillId="0" borderId="9" xfId="0" applyFont="1" applyBorder="1" applyAlignment="1">
      <alignment horizontal="justify"/>
    </xf>
    <xf numFmtId="3" fontId="6" fillId="0" borderId="9" xfId="0" applyNumberFormat="1" applyFont="1" applyBorder="1" applyAlignment="1">
      <alignment horizontal="justify" vertical="top"/>
    </xf>
    <xf numFmtId="3" fontId="12" fillId="0" borderId="5" xfId="0" applyNumberFormat="1" applyFont="1" applyBorder="1" applyAlignment="1">
      <alignment vertical="top"/>
    </xf>
    <xf numFmtId="15" fontId="5" fillId="0" borderId="8" xfId="0" applyNumberFormat="1" applyFont="1" applyBorder="1" applyAlignment="1">
      <alignment horizontal="justify" vertical="top"/>
    </xf>
    <xf numFmtId="15" fontId="3" fillId="0" borderId="8" xfId="0" applyNumberFormat="1" applyFont="1" applyBorder="1" applyAlignment="1">
      <alignment horizontal="justify" vertical="top" wrapText="1"/>
    </xf>
    <xf numFmtId="3" fontId="3" fillId="0" borderId="8" xfId="0" applyNumberFormat="1" applyFont="1" applyBorder="1" applyAlignment="1">
      <alignment horizontal="justify" vertical="top"/>
    </xf>
    <xf numFmtId="15" fontId="3" fillId="0" borderId="9" xfId="0" applyNumberFormat="1" applyFont="1" applyBorder="1" applyAlignment="1">
      <alignment horizontal="justify" vertical="top"/>
    </xf>
    <xf numFmtId="15" fontId="5" fillId="0" borderId="9" xfId="0" applyNumberFormat="1" applyFont="1" applyBorder="1" applyAlignment="1">
      <alignment horizontal="justify" vertical="top"/>
    </xf>
    <xf numFmtId="0" fontId="12" fillId="0" borderId="0" xfId="0" applyFont="1" applyAlignment="1">
      <alignment horizontal="justify" vertical="top"/>
    </xf>
    <xf numFmtId="3" fontId="12" fillId="0" borderId="8" xfId="0" applyNumberFormat="1" applyFont="1" applyBorder="1" applyAlignment="1">
      <alignment vertical="top"/>
    </xf>
    <xf numFmtId="0" fontId="12" fillId="0" borderId="5" xfId="0" applyFont="1" applyBorder="1" applyAlignment="1">
      <alignment horizontal="justify" vertical="top"/>
    </xf>
    <xf numFmtId="3" fontId="12" fillId="0" borderId="5" xfId="0" applyNumberFormat="1" applyFont="1" applyBorder="1" applyAlignment="1">
      <alignment horizontal="justify" vertical="top"/>
    </xf>
    <xf numFmtId="0" fontId="12" fillId="0" borderId="7" xfId="0" applyFont="1" applyBorder="1" applyAlignment="1">
      <alignment horizontal="justify" vertical="top"/>
    </xf>
    <xf numFmtId="3" fontId="12" fillId="0" borderId="8" xfId="0" applyNumberFormat="1" applyFont="1" applyBorder="1" applyAlignment="1">
      <alignment horizontal="justify" vertical="top"/>
    </xf>
    <xf numFmtId="0" fontId="12" fillId="0" borderId="1" xfId="0" applyFont="1" applyBorder="1" applyAlignment="1">
      <alignment horizontal="justify" vertical="top"/>
    </xf>
    <xf numFmtId="3" fontId="12" fillId="0" borderId="9" xfId="0" applyNumberFormat="1" applyFont="1" applyBorder="1" applyAlignment="1">
      <alignment horizontal="justify" vertical="top"/>
    </xf>
    <xf numFmtId="3" fontId="12" fillId="0" borderId="1" xfId="0" applyNumberFormat="1" applyFont="1" applyBorder="1" applyAlignment="1">
      <alignment horizontal="justify" vertical="top"/>
    </xf>
    <xf numFmtId="1" fontId="12" fillId="0" borderId="0" xfId="0" applyNumberFormat="1" applyFont="1" applyAlignment="1">
      <alignment horizontal="center" vertical="justify"/>
    </xf>
    <xf numFmtId="0" fontId="11" fillId="0" borderId="8" xfId="0" applyFont="1" applyBorder="1" applyAlignment="1">
      <alignment horizontal="justify" vertical="top"/>
    </xf>
    <xf numFmtId="0" fontId="15" fillId="0" borderId="0" xfId="0" applyFont="1" applyAlignment="1">
      <alignment horizontal="justify" vertical="top"/>
    </xf>
    <xf numFmtId="0" fontId="0" fillId="6" borderId="4" xfId="0" applyFill="1" applyBorder="1" applyAlignment="1">
      <alignment horizontal="center"/>
    </xf>
    <xf numFmtId="0" fontId="8" fillId="6" borderId="4" xfId="0" applyFont="1" applyFill="1" applyBorder="1" applyAlignment="1">
      <alignment horizontal="center" vertical="justify" wrapText="1"/>
    </xf>
    <xf numFmtId="3" fontId="6" fillId="0" borderId="9" xfId="0" applyNumberFormat="1" applyFont="1" applyBorder="1" applyAlignment="1">
      <alignment horizontal="justify" vertical="top" wrapText="1"/>
    </xf>
    <xf numFmtId="3" fontId="8" fillId="0" borderId="0" xfId="0" applyNumberFormat="1" applyFont="1" applyBorder="1" applyAlignment="1">
      <alignment horizontal="justify" vertical="top"/>
    </xf>
    <xf numFmtId="165" fontId="0" fillId="0" borderId="0" xfId="0" applyNumberFormat="1" applyAlignment="1">
      <alignment horizontal="justify" vertical="top"/>
    </xf>
    <xf numFmtId="165" fontId="8" fillId="4" borderId="15" xfId="0" applyNumberFormat="1" applyFont="1" applyFill="1" applyBorder="1" applyAlignment="1">
      <alignment horizontal="center" vertical="top"/>
    </xf>
    <xf numFmtId="0" fontId="5" fillId="5" borderId="21" xfId="0" applyFont="1" applyFill="1" applyBorder="1" applyAlignment="1">
      <alignment horizontal="justify" vertical="top"/>
    </xf>
    <xf numFmtId="15" fontId="3" fillId="0" borderId="22" xfId="0" applyNumberFormat="1" applyFont="1" applyBorder="1" applyAlignment="1">
      <alignment horizontal="justify" vertical="top" wrapText="1"/>
    </xf>
    <xf numFmtId="15" fontId="5" fillId="0" borderId="8" xfId="0" applyNumberFormat="1" applyFont="1" applyBorder="1" applyAlignment="1">
      <alignment horizontal="justify" vertical="top" wrapText="1"/>
    </xf>
    <xf numFmtId="15" fontId="8" fillId="0" borderId="8" xfId="0" applyNumberFormat="1" applyFont="1" applyBorder="1" applyAlignment="1">
      <alignment horizontal="justify" vertical="top" wrapText="1"/>
    </xf>
    <xf numFmtId="3" fontId="5" fillId="0" borderId="0" xfId="0" applyNumberFormat="1" applyFont="1" applyBorder="1" applyAlignment="1">
      <alignment horizontal="justify" vertical="top"/>
    </xf>
    <xf numFmtId="3" fontId="13" fillId="0" borderId="5" xfId="0" applyNumberFormat="1" applyFont="1" applyBorder="1" applyAlignment="1">
      <alignment horizontal="justify" vertical="top"/>
    </xf>
    <xf numFmtId="3" fontId="13" fillId="0" borderId="8" xfId="0" applyNumberFormat="1" applyFont="1" applyBorder="1" applyAlignment="1">
      <alignment horizontal="justify" vertical="top"/>
    </xf>
    <xf numFmtId="1" fontId="3" fillId="0" borderId="4" xfId="0" applyNumberFormat="1" applyFont="1" applyBorder="1" applyAlignment="1">
      <alignment horizontal="justify" vertical="top"/>
    </xf>
    <xf numFmtId="3" fontId="13" fillId="0" borderId="7" xfId="0" applyNumberFormat="1" applyFont="1" applyBorder="1" applyAlignment="1">
      <alignment vertical="top"/>
    </xf>
    <xf numFmtId="0" fontId="3" fillId="0" borderId="4" xfId="0" applyFont="1" applyBorder="1" applyAlignment="1">
      <alignment horizontal="justify" vertical="top"/>
    </xf>
    <xf numFmtId="0" fontId="3" fillId="0" borderId="23" xfId="0" applyFont="1" applyBorder="1" applyAlignment="1">
      <alignment vertical="top" wrapText="1"/>
    </xf>
    <xf numFmtId="0" fontId="3" fillId="0" borderId="23" xfId="0" applyFont="1" applyBorder="1" applyAlignment="1">
      <alignment horizontal="justify" vertical="top"/>
    </xf>
    <xf numFmtId="3" fontId="13" fillId="0" borderId="7" xfId="0" applyNumberFormat="1" applyFont="1" applyBorder="1" applyAlignment="1">
      <alignment wrapText="1"/>
    </xf>
    <xf numFmtId="3" fontId="12" fillId="0" borderId="7" xfId="0" applyNumberFormat="1" applyFont="1" applyBorder="1" applyAlignment="1">
      <alignment wrapText="1"/>
    </xf>
    <xf numFmtId="3" fontId="12" fillId="0" borderId="7" xfId="0" applyNumberFormat="1" applyFont="1" applyBorder="1" applyAlignment="1">
      <alignment vertical="top"/>
    </xf>
    <xf numFmtId="3" fontId="13" fillId="0" borderId="7" xfId="0" applyNumberFormat="1" applyFont="1" applyBorder="1" applyAlignment="1">
      <alignment horizontal="justify" vertical="top"/>
    </xf>
    <xf numFmtId="164" fontId="8" fillId="7" borderId="26" xfId="0" applyNumberFormat="1" applyFont="1" applyFill="1" applyBorder="1" applyAlignment="1">
      <alignment horizontal="center" vertical="justify"/>
    </xf>
    <xf numFmtId="0" fontId="8" fillId="7" borderId="27" xfId="0" applyFont="1" applyFill="1" applyBorder="1" applyAlignment="1">
      <alignment horizontal="center" vertical="justify"/>
    </xf>
    <xf numFmtId="0" fontId="8" fillId="7" borderId="28" xfId="0" applyFont="1" applyFill="1" applyBorder="1" applyAlignment="1">
      <alignment horizontal="center" vertical="justify"/>
    </xf>
    <xf numFmtId="0" fontId="3" fillId="0" borderId="4" xfId="0" applyFont="1" applyBorder="1" applyAlignment="1">
      <alignment vertical="top"/>
    </xf>
    <xf numFmtId="14" fontId="3" fillId="0" borderId="4" xfId="0" applyNumberFormat="1" applyFont="1" applyBorder="1" applyAlignment="1">
      <alignment vertical="top" wrapText="1"/>
    </xf>
    <xf numFmtId="0" fontId="3" fillId="8" borderId="4" xfId="0" applyFont="1" applyFill="1" applyBorder="1" applyAlignment="1">
      <alignment vertical="top" wrapText="1"/>
    </xf>
    <xf numFmtId="14" fontId="3" fillId="0" borderId="4" xfId="0" applyNumberFormat="1" applyFont="1" applyBorder="1" applyAlignment="1">
      <alignment horizontal="justify" vertical="top"/>
    </xf>
    <xf numFmtId="15" fontId="3" fillId="0" borderId="29" xfId="0" applyNumberFormat="1" applyFont="1" applyBorder="1" applyAlignment="1">
      <alignment horizontal="justify" vertical="top"/>
    </xf>
    <xf numFmtId="0" fontId="3" fillId="0" borderId="23" xfId="0" applyFont="1" applyBorder="1" applyAlignment="1">
      <alignment vertical="top"/>
    </xf>
    <xf numFmtId="15" fontId="3" fillId="0" borderId="29" xfId="0" applyNumberFormat="1" applyFont="1" applyBorder="1" applyAlignment="1">
      <alignment horizontal="justify" vertical="top" wrapText="1"/>
    </xf>
    <xf numFmtId="15" fontId="3" fillId="8" borderId="29" xfId="0" applyNumberFormat="1" applyFont="1" applyFill="1" applyBorder="1" applyAlignment="1">
      <alignment horizontal="justify" vertical="top"/>
    </xf>
    <xf numFmtId="0" fontId="3" fillId="8" borderId="23" xfId="0" applyFont="1" applyFill="1" applyBorder="1" applyAlignment="1">
      <alignment vertical="top" wrapText="1"/>
    </xf>
    <xf numFmtId="3" fontId="13" fillId="0" borderId="5" xfId="0" applyNumberFormat="1" applyFont="1" applyBorder="1" applyAlignment="1">
      <alignment horizontal="right" vertical="top"/>
    </xf>
    <xf numFmtId="43" fontId="5" fillId="0" borderId="0" xfId="1" applyFont="1" applyBorder="1" applyAlignment="1">
      <alignment horizontal="center" vertical="justify"/>
    </xf>
    <xf numFmtId="0" fontId="11" fillId="0" borderId="4" xfId="0" applyFont="1" applyBorder="1" applyAlignment="1">
      <alignment horizontal="justify" vertical="top"/>
    </xf>
    <xf numFmtId="3" fontId="12" fillId="0" borderId="0" xfId="0" applyNumberFormat="1" applyFont="1" applyAlignment="1">
      <alignment horizontal="justify" vertical="justify"/>
    </xf>
    <xf numFmtId="3" fontId="13" fillId="0" borderId="30" xfId="0" applyNumberFormat="1" applyFont="1" applyBorder="1" applyAlignment="1">
      <alignment vertical="top"/>
    </xf>
    <xf numFmtId="0" fontId="11" fillId="0" borderId="4" xfId="0" applyFont="1" applyBorder="1" applyAlignment="1">
      <alignment horizontal="justify"/>
    </xf>
    <xf numFmtId="15" fontId="3" fillId="0" borderId="22" xfId="0" applyNumberFormat="1" applyFont="1" applyBorder="1" applyAlignment="1">
      <alignment horizontal="justify" vertical="top"/>
    </xf>
    <xf numFmtId="15" fontId="11" fillId="0" borderId="9" xfId="0" applyNumberFormat="1" applyFont="1" applyBorder="1" applyAlignment="1">
      <alignment vertical="top" wrapText="1"/>
    </xf>
    <xf numFmtId="164" fontId="5" fillId="0" borderId="4" xfId="0" applyNumberFormat="1" applyFont="1" applyBorder="1" applyAlignment="1">
      <alignment vertical="top" wrapText="1"/>
    </xf>
    <xf numFmtId="0" fontId="5" fillId="0" borderId="4" xfId="0" applyFont="1" applyBorder="1" applyAlignment="1">
      <alignment horizontal="justify" vertical="top"/>
    </xf>
    <xf numFmtId="0" fontId="5" fillId="0" borderId="4" xfId="0" applyFont="1" applyBorder="1" applyAlignment="1">
      <alignment vertical="top" wrapText="1"/>
    </xf>
    <xf numFmtId="3" fontId="13" fillId="0" borderId="4" xfId="0" applyNumberFormat="1" applyFont="1" applyBorder="1" applyAlignment="1">
      <alignment vertical="top"/>
    </xf>
    <xf numFmtId="3" fontId="6" fillId="0" borderId="4" xfId="0" applyNumberFormat="1" applyFont="1" applyBorder="1" applyAlignment="1">
      <alignment horizontal="justify" vertical="top"/>
    </xf>
    <xf numFmtId="166" fontId="3" fillId="0" borderId="4" xfId="0" applyNumberFormat="1" applyFont="1" applyBorder="1" applyAlignment="1">
      <alignment horizontal="right" vertical="top"/>
    </xf>
    <xf numFmtId="166" fontId="14" fillId="0" borderId="4" xfId="0" applyNumberFormat="1" applyFont="1" applyBorder="1" applyAlignment="1">
      <alignment horizontal="right" vertical="top"/>
    </xf>
    <xf numFmtId="166" fontId="16" fillId="0" borderId="4" xfId="0" applyNumberFormat="1" applyFont="1" applyBorder="1" applyAlignment="1">
      <alignment horizontal="right" vertical="top"/>
    </xf>
    <xf numFmtId="0" fontId="5" fillId="2" borderId="31" xfId="0" applyFont="1" applyFill="1" applyBorder="1" applyAlignment="1">
      <alignment horizontal="center" vertical="justify"/>
    </xf>
    <xf numFmtId="0" fontId="0" fillId="0" borderId="32" xfId="0" applyBorder="1" applyAlignment="1">
      <alignment horizontal="center"/>
    </xf>
    <xf numFmtId="0" fontId="5" fillId="2" borderId="32" xfId="0" applyFont="1" applyFill="1" applyBorder="1" applyAlignment="1">
      <alignment horizontal="center" vertical="justify"/>
    </xf>
    <xf numFmtId="0" fontId="5" fillId="2" borderId="33" xfId="0" applyFont="1" applyFill="1" applyBorder="1" applyAlignment="1">
      <alignment horizontal="center" vertical="justify"/>
    </xf>
    <xf numFmtId="0" fontId="0" fillId="2" borderId="33" xfId="0" applyFill="1" applyBorder="1" applyAlignment="1">
      <alignment horizontal="center"/>
    </xf>
    <xf numFmtId="0" fontId="0" fillId="2" borderId="32" xfId="0" applyFill="1" applyBorder="1" applyAlignment="1">
      <alignment horizontal="center"/>
    </xf>
    <xf numFmtId="0" fontId="5" fillId="2" borderId="34" xfId="0" applyFont="1" applyFill="1" applyBorder="1" applyAlignment="1">
      <alignment horizontal="center" vertical="justify"/>
    </xf>
    <xf numFmtId="0" fontId="5" fillId="2" borderId="35" xfId="0" applyFont="1" applyFill="1" applyBorder="1" applyAlignment="1">
      <alignment horizontal="center" vertical="justify"/>
    </xf>
    <xf numFmtId="164" fontId="2" fillId="0" borderId="0" xfId="0" applyNumberFormat="1" applyFont="1" applyAlignment="1">
      <alignment horizontal="center" vertical="justify"/>
    </xf>
    <xf numFmtId="165" fontId="2" fillId="9" borderId="31" xfId="0" applyNumberFormat="1" applyFont="1" applyFill="1" applyBorder="1" applyAlignment="1">
      <alignment horizontal="center" vertical="justify"/>
    </xf>
    <xf numFmtId="165" fontId="2" fillId="9" borderId="33" xfId="0" applyNumberFormat="1" applyFont="1" applyFill="1" applyBorder="1" applyAlignment="1">
      <alignment horizontal="center" vertical="justify"/>
    </xf>
    <xf numFmtId="168" fontId="10" fillId="9" borderId="32" xfId="0" applyNumberFormat="1" applyFont="1" applyFill="1" applyBorder="1" applyAlignment="1">
      <alignment horizontal="center" vertical="justify"/>
    </xf>
    <xf numFmtId="0" fontId="8" fillId="5" borderId="18" xfId="0" applyFont="1" applyFill="1" applyBorder="1" applyAlignment="1">
      <alignment horizontal="center" vertical="justify"/>
    </xf>
    <xf numFmtId="0" fontId="8" fillId="5" borderId="11" xfId="0" applyFont="1" applyFill="1" applyBorder="1" applyAlignment="1">
      <alignment horizontal="center" vertical="justify"/>
    </xf>
    <xf numFmtId="0" fontId="8" fillId="5" borderId="17" xfId="0" applyFont="1" applyFill="1" applyBorder="1" applyAlignment="1">
      <alignment horizontal="center" vertical="justify"/>
    </xf>
    <xf numFmtId="164" fontId="2" fillId="0" borderId="0" xfId="0" applyNumberFormat="1" applyFont="1" applyBorder="1" applyAlignment="1">
      <alignment horizontal="left" vertical="justify"/>
    </xf>
    <xf numFmtId="0" fontId="4" fillId="10" borderId="31" xfId="0" applyFont="1" applyFill="1" applyBorder="1" applyAlignment="1">
      <alignment horizontal="center" vertical="justify"/>
    </xf>
    <xf numFmtId="0" fontId="0" fillId="0" borderId="33" xfId="0" applyBorder="1" applyAlignment="1">
      <alignment horizontal="center"/>
    </xf>
    <xf numFmtId="0" fontId="4" fillId="11" borderId="31" xfId="0" applyFont="1" applyFill="1" applyBorder="1" applyAlignment="1">
      <alignment horizontal="center" vertical="justify"/>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8846"/>
  <sheetViews>
    <sheetView tabSelected="1" zoomScaleNormal="100" zoomScaleSheetLayoutView="100"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RowHeight="12.75" outlineLevelRow="2"/>
  <cols>
    <col min="1" max="1" width="8.7109375" style="15" customWidth="1"/>
    <col min="2" max="2" width="13.28515625" style="16" customWidth="1"/>
    <col min="3" max="3" width="10.85546875" style="33" customWidth="1"/>
    <col min="4" max="4" width="13.7109375" style="2" customWidth="1"/>
    <col min="5" max="5" width="9" style="2" customWidth="1"/>
    <col min="6" max="6" width="9.42578125" style="2" customWidth="1"/>
    <col min="7" max="7" width="10" style="2" customWidth="1"/>
    <col min="8" max="8" width="10.7109375" style="2" customWidth="1"/>
    <col min="9" max="9" width="9.5703125" style="2" customWidth="1"/>
    <col min="10" max="10" width="13" style="2" customWidth="1"/>
    <col min="11" max="11" width="9" style="2" customWidth="1"/>
    <col min="12" max="12" width="6.5703125" style="2" hidden="1" customWidth="1"/>
    <col min="13" max="13" width="12" style="17" hidden="1" customWidth="1"/>
    <col min="14" max="14" width="11.85546875" style="17" hidden="1" customWidth="1"/>
    <col min="15" max="15" width="7.85546875" style="17" hidden="1" customWidth="1"/>
    <col min="16" max="16" width="12.28515625" style="17" hidden="1" customWidth="1"/>
    <col min="17" max="17" width="9.7109375" style="17" hidden="1" customWidth="1"/>
    <col min="18" max="18" width="10.85546875" style="17" hidden="1" customWidth="1"/>
    <col min="19" max="19" width="12.140625" style="17" hidden="1" customWidth="1"/>
    <col min="20" max="20" width="13.42578125" style="17" hidden="1" customWidth="1"/>
    <col min="21" max="21" width="17.5703125" style="153" hidden="1" customWidth="1"/>
    <col min="22" max="22" width="14.42578125" style="2" hidden="1" customWidth="1"/>
    <col min="23" max="23" width="13.85546875" style="2" customWidth="1"/>
    <col min="24" max="24" width="13.42578125" style="2" customWidth="1"/>
    <col min="25" max="25" width="14.7109375" style="2" customWidth="1"/>
    <col min="26" max="26" width="12.140625" style="2" customWidth="1"/>
    <col min="27" max="27" width="14.5703125" style="2" customWidth="1"/>
    <col min="28" max="28" width="13" style="2" customWidth="1"/>
    <col min="29" max="29" width="14.7109375" style="16" customWidth="1"/>
    <col min="30" max="30" width="13.85546875" style="35" customWidth="1"/>
    <col min="31" max="31" width="12.140625" style="2" hidden="1" customWidth="1"/>
    <col min="32" max="32" width="12.140625" style="57" hidden="1" customWidth="1"/>
    <col min="33" max="33" width="12.140625" style="2" hidden="1" customWidth="1"/>
    <col min="34" max="34" width="9.85546875" style="20" hidden="1" customWidth="1"/>
    <col min="35" max="35" width="18.28515625" style="62" hidden="1" customWidth="1"/>
    <col min="36" max="36" width="27" style="119" hidden="1" customWidth="1"/>
    <col min="37" max="37" width="40" style="122" customWidth="1"/>
    <col min="38" max="38" width="11.85546875" style="2" hidden="1" customWidth="1"/>
    <col min="39" max="39" width="12.28515625" style="2" hidden="1" customWidth="1"/>
    <col min="40" max="40" width="10.5703125" style="2" hidden="1" customWidth="1"/>
    <col min="41" max="41" width="12.28515625" style="2" hidden="1" customWidth="1"/>
    <col min="42" max="42" width="10.7109375" style="2" hidden="1" customWidth="1"/>
    <col min="43" max="43" width="12.28515625" style="2" hidden="1" customWidth="1"/>
    <col min="44" max="44" width="10.5703125" style="2" hidden="1" customWidth="1"/>
    <col min="45" max="45" width="12.28515625" style="2" hidden="1" customWidth="1"/>
    <col min="46" max="46" width="11.7109375" style="2" hidden="1" customWidth="1"/>
    <col min="47" max="49" width="12.28515625" style="2" hidden="1" customWidth="1"/>
    <col min="50" max="50" width="11.5703125" style="2" hidden="1" customWidth="1"/>
    <col min="51" max="51" width="12.7109375" style="2" hidden="1" customWidth="1"/>
    <col min="52" max="52" width="11.85546875" style="2" hidden="1" customWidth="1"/>
    <col min="53" max="53" width="12.28515625" style="2" hidden="1" customWidth="1"/>
    <col min="54" max="54" width="11.5703125" style="2" hidden="1" customWidth="1"/>
    <col min="55" max="59" width="12.28515625" style="2" hidden="1" customWidth="1"/>
    <col min="60" max="60" width="0" style="2" hidden="1" customWidth="1"/>
    <col min="61" max="61" width="12.28515625" style="2" hidden="1" customWidth="1"/>
    <col min="62" max="62" width="12.140625" style="2" hidden="1" customWidth="1"/>
    <col min="63" max="63" width="13.85546875" style="2" hidden="1" customWidth="1"/>
    <col min="64" max="64" width="11.140625" style="2" hidden="1" customWidth="1"/>
    <col min="65" max="67" width="12.28515625" style="2" hidden="1" customWidth="1"/>
    <col min="68" max="68" width="0" style="2" hidden="1" customWidth="1"/>
    <col min="69" max="69" width="12.28515625" style="2" hidden="1" customWidth="1"/>
    <col min="70" max="70" width="11.140625" style="2" hidden="1" customWidth="1"/>
    <col min="71" max="71" width="12.28515625" style="2" hidden="1" customWidth="1"/>
    <col min="72" max="72" width="11.7109375" style="2" hidden="1" customWidth="1"/>
    <col min="73" max="73" width="12.28515625" style="2" hidden="1" customWidth="1"/>
    <col min="74" max="74" width="11.5703125" style="2" hidden="1" customWidth="1"/>
    <col min="75" max="75" width="12.28515625" style="2" hidden="1" customWidth="1"/>
    <col min="76" max="76" width="11.7109375" style="2" hidden="1" customWidth="1"/>
    <col min="77" max="77" width="12.28515625" style="2" hidden="1" customWidth="1"/>
    <col min="78" max="78" width="11.140625" style="2" hidden="1" customWidth="1"/>
    <col min="79" max="79" width="12.28515625" style="2" hidden="1" customWidth="1"/>
    <col min="80" max="80" width="11.7109375" style="2" hidden="1" customWidth="1"/>
    <col min="81" max="81" width="12.28515625" style="2" hidden="1" customWidth="1"/>
    <col min="82" max="82" width="11" style="2" hidden="1" customWidth="1"/>
    <col min="83" max="83" width="12.28515625" style="2" hidden="1" customWidth="1"/>
    <col min="84" max="84" width="0" style="2" hidden="1" customWidth="1"/>
    <col min="85" max="85" width="12.28515625" style="2" hidden="1" customWidth="1"/>
    <col min="86" max="86" width="0" style="2" hidden="1" customWidth="1"/>
    <col min="87" max="87" width="13.85546875" style="2" hidden="1" customWidth="1"/>
    <col min="88" max="88" width="0" style="2" hidden="1" customWidth="1"/>
    <col min="89" max="90" width="12.28515625" style="2" hidden="1" customWidth="1"/>
    <col min="91" max="91" width="13.140625" style="2" hidden="1" customWidth="1"/>
    <col min="92" max="92" width="12.28515625" style="2" hidden="1" customWidth="1"/>
    <col min="93" max="93" width="13.42578125" style="2" hidden="1" customWidth="1"/>
    <col min="94" max="94" width="12.28515625" style="2" hidden="1" customWidth="1"/>
    <col min="95" max="95" width="14.5703125" style="2" hidden="1" customWidth="1"/>
    <col min="96" max="96" width="0" style="2" hidden="1" customWidth="1"/>
    <col min="97" max="97" width="12.28515625" style="2" hidden="1" customWidth="1"/>
    <col min="98" max="98" width="15" style="2" hidden="1" customWidth="1"/>
    <col min="99" max="99" width="0" style="2" hidden="1" customWidth="1"/>
    <col min="100" max="100" width="14.85546875" style="2" hidden="1" customWidth="1"/>
    <col min="101" max="101" width="12.5703125" style="2" hidden="1" customWidth="1"/>
    <col min="102" max="102" width="14.5703125" style="2" hidden="1" customWidth="1"/>
    <col min="103" max="103" width="12.5703125" style="2" hidden="1" customWidth="1"/>
    <col min="104" max="104" width="14.42578125" style="2" hidden="1" customWidth="1"/>
    <col min="105" max="105" width="15.5703125" style="2" hidden="1" customWidth="1"/>
    <col min="106" max="106" width="14.85546875" style="2" hidden="1" customWidth="1"/>
    <col min="107" max="107" width="13.85546875" style="2" hidden="1" customWidth="1"/>
    <col min="108" max="108" width="26.28515625" style="22" hidden="1" customWidth="1"/>
    <col min="109" max="16384" width="11.42578125" style="2"/>
  </cols>
  <sheetData>
    <row r="1" spans="1:108" s="20" customFormat="1" ht="15.75" customHeight="1" thickBot="1">
      <c r="A1" s="215" t="s">
        <v>896</v>
      </c>
      <c r="B1" s="216"/>
      <c r="C1" s="216"/>
      <c r="D1" s="200"/>
      <c r="E1" s="217" t="s">
        <v>1940</v>
      </c>
      <c r="F1" s="216"/>
      <c r="G1" s="216"/>
      <c r="H1" s="216"/>
      <c r="I1" s="216"/>
      <c r="J1" s="216"/>
      <c r="K1" s="216"/>
      <c r="L1" s="216"/>
      <c r="M1" s="216"/>
      <c r="N1" s="216"/>
      <c r="O1" s="216"/>
      <c r="P1" s="216"/>
      <c r="Q1" s="216"/>
      <c r="R1" s="216"/>
      <c r="S1" s="216"/>
      <c r="T1" s="216"/>
      <c r="U1" s="200"/>
      <c r="V1" s="208" t="s">
        <v>901</v>
      </c>
      <c r="W1" s="209"/>
      <c r="X1" s="209"/>
      <c r="Y1" s="209"/>
      <c r="Z1" s="209"/>
      <c r="AA1" s="209"/>
      <c r="AB1" s="209"/>
      <c r="AC1" s="209"/>
      <c r="AD1" s="210"/>
      <c r="AE1" s="211" t="s">
        <v>1377</v>
      </c>
      <c r="AF1" s="212"/>
      <c r="AG1" s="212"/>
      <c r="AH1" s="212"/>
      <c r="AI1" s="212"/>
      <c r="AJ1" s="212"/>
      <c r="AK1" s="213"/>
      <c r="AL1" s="199" t="s">
        <v>1631</v>
      </c>
      <c r="AM1" s="200"/>
      <c r="AN1" s="199" t="s">
        <v>1367</v>
      </c>
      <c r="AO1" s="201"/>
      <c r="AP1" s="199" t="s">
        <v>248</v>
      </c>
      <c r="AQ1" s="201"/>
      <c r="AR1" s="199" t="s">
        <v>1368</v>
      </c>
      <c r="AS1" s="201"/>
      <c r="AT1" s="199" t="s">
        <v>1369</v>
      </c>
      <c r="AU1" s="201"/>
      <c r="AV1" s="199" t="s">
        <v>935</v>
      </c>
      <c r="AW1" s="200"/>
      <c r="AX1" s="199" t="s">
        <v>1370</v>
      </c>
      <c r="AY1" s="201"/>
      <c r="AZ1" s="199" t="s">
        <v>1178</v>
      </c>
      <c r="BA1" s="201"/>
      <c r="BB1" s="199" t="s">
        <v>1371</v>
      </c>
      <c r="BC1" s="201"/>
      <c r="BD1" s="199" t="s">
        <v>1184</v>
      </c>
      <c r="BE1" s="200"/>
      <c r="BF1" s="199" t="s">
        <v>1185</v>
      </c>
      <c r="BG1" s="200"/>
      <c r="BH1" s="199" t="s">
        <v>1363</v>
      </c>
      <c r="BI1" s="201"/>
      <c r="BJ1" s="199" t="s">
        <v>1366</v>
      </c>
      <c r="BK1" s="201"/>
      <c r="BL1" s="199" t="s">
        <v>1626</v>
      </c>
      <c r="BM1" s="201"/>
      <c r="BN1" s="199" t="s">
        <v>895</v>
      </c>
      <c r="BO1" s="200"/>
      <c r="BP1" s="199" t="s">
        <v>434</v>
      </c>
      <c r="BQ1" s="201"/>
      <c r="BR1" s="199" t="s">
        <v>897</v>
      </c>
      <c r="BS1" s="201"/>
      <c r="BT1" s="199" t="s">
        <v>937</v>
      </c>
      <c r="BU1" s="201"/>
      <c r="BV1" s="199" t="s">
        <v>1867</v>
      </c>
      <c r="BW1" s="201"/>
      <c r="BX1" s="199" t="s">
        <v>433</v>
      </c>
      <c r="BY1" s="200"/>
      <c r="BZ1" s="199" t="s">
        <v>1868</v>
      </c>
      <c r="CA1" s="201"/>
      <c r="CB1" s="199" t="s">
        <v>1869</v>
      </c>
      <c r="CC1" s="201"/>
      <c r="CD1" s="199" t="s">
        <v>1180</v>
      </c>
      <c r="CE1" s="201"/>
      <c r="CF1" s="199" t="s">
        <v>1181</v>
      </c>
      <c r="CG1" s="201"/>
      <c r="CH1" s="199" t="s">
        <v>936</v>
      </c>
      <c r="CI1" s="200"/>
      <c r="CJ1" s="199" t="s">
        <v>247</v>
      </c>
      <c r="CK1" s="201"/>
      <c r="CL1" s="199" t="s">
        <v>246</v>
      </c>
      <c r="CM1" s="201"/>
      <c r="CN1" s="199" t="s">
        <v>1632</v>
      </c>
      <c r="CO1" s="201"/>
      <c r="CP1" s="199" t="s">
        <v>893</v>
      </c>
      <c r="CQ1" s="201"/>
      <c r="CR1" s="199" t="s">
        <v>894</v>
      </c>
      <c r="CS1" s="201"/>
      <c r="CT1" s="21" t="s">
        <v>898</v>
      </c>
      <c r="CU1" s="199" t="s">
        <v>245</v>
      </c>
      <c r="CV1" s="204"/>
      <c r="CW1" s="199" t="s">
        <v>1365</v>
      </c>
      <c r="CX1" s="201"/>
      <c r="CY1" s="205" t="s">
        <v>900</v>
      </c>
      <c r="CZ1" s="206"/>
      <c r="DA1" s="202" t="s">
        <v>1375</v>
      </c>
      <c r="DB1" s="203"/>
      <c r="DC1" s="149" t="s">
        <v>1935</v>
      </c>
      <c r="DD1" s="25"/>
    </row>
    <row r="2" spans="1:108" s="51" customFormat="1" ht="24.75" thickBot="1">
      <c r="A2" s="171" t="s">
        <v>1373</v>
      </c>
      <c r="B2" s="172" t="s">
        <v>1374</v>
      </c>
      <c r="C2" s="172" t="s">
        <v>1187</v>
      </c>
      <c r="D2" s="173" t="s">
        <v>1188</v>
      </c>
      <c r="E2" s="36" t="s">
        <v>1372</v>
      </c>
      <c r="F2" s="37" t="s">
        <v>1944</v>
      </c>
      <c r="G2" s="37" t="s">
        <v>1945</v>
      </c>
      <c r="H2" s="37" t="s">
        <v>1189</v>
      </c>
      <c r="I2" s="37" t="s">
        <v>1190</v>
      </c>
      <c r="J2" s="37" t="s">
        <v>1941</v>
      </c>
      <c r="K2" s="37" t="s">
        <v>1942</v>
      </c>
      <c r="L2" s="37" t="s">
        <v>1364</v>
      </c>
      <c r="M2" s="38" t="s">
        <v>1946</v>
      </c>
      <c r="N2" s="38" t="s">
        <v>1947</v>
      </c>
      <c r="O2" s="38" t="s">
        <v>1174</v>
      </c>
      <c r="P2" s="38" t="s">
        <v>1177</v>
      </c>
      <c r="Q2" s="38" t="s">
        <v>1175</v>
      </c>
      <c r="R2" s="38" t="s">
        <v>1176</v>
      </c>
      <c r="S2" s="38" t="s">
        <v>1624</v>
      </c>
      <c r="T2" s="39" t="s">
        <v>1933</v>
      </c>
      <c r="U2" s="154" t="s">
        <v>1628</v>
      </c>
      <c r="V2" s="40" t="s">
        <v>1183</v>
      </c>
      <c r="W2" s="41" t="s">
        <v>1625</v>
      </c>
      <c r="X2" s="41" t="s">
        <v>1627</v>
      </c>
      <c r="Y2" s="41" t="s">
        <v>1938</v>
      </c>
      <c r="Z2" s="41" t="s">
        <v>245</v>
      </c>
      <c r="AA2" s="41" t="s">
        <v>1628</v>
      </c>
      <c r="AB2" s="42" t="s">
        <v>1935</v>
      </c>
      <c r="AC2" s="43" t="s">
        <v>677</v>
      </c>
      <c r="AD2" s="34" t="s">
        <v>1936</v>
      </c>
      <c r="AE2" s="53" t="s">
        <v>1932</v>
      </c>
      <c r="AF2" s="55" t="s">
        <v>1948</v>
      </c>
      <c r="AG2" s="53" t="s">
        <v>1376</v>
      </c>
      <c r="AH2" s="53" t="s">
        <v>1308</v>
      </c>
      <c r="AI2" s="58" t="s">
        <v>1949</v>
      </c>
      <c r="AJ2" s="155" t="s">
        <v>951</v>
      </c>
      <c r="AK2" s="127" t="s">
        <v>1186</v>
      </c>
      <c r="AL2" s="44" t="s">
        <v>1629</v>
      </c>
      <c r="AM2" s="44" t="s">
        <v>1630</v>
      </c>
      <c r="AN2" s="44" t="s">
        <v>1629</v>
      </c>
      <c r="AO2" s="44" t="s">
        <v>1630</v>
      </c>
      <c r="AP2" s="44" t="s">
        <v>1629</v>
      </c>
      <c r="AQ2" s="44" t="s">
        <v>1630</v>
      </c>
      <c r="AR2" s="44" t="s">
        <v>1629</v>
      </c>
      <c r="AS2" s="44" t="s">
        <v>1630</v>
      </c>
      <c r="AT2" s="45" t="s">
        <v>1629</v>
      </c>
      <c r="AU2" s="45" t="s">
        <v>1630</v>
      </c>
      <c r="AV2" s="45" t="s">
        <v>1629</v>
      </c>
      <c r="AW2" s="45" t="s">
        <v>1630</v>
      </c>
      <c r="AX2" s="45" t="s">
        <v>1629</v>
      </c>
      <c r="AY2" s="45" t="s">
        <v>1630</v>
      </c>
      <c r="AZ2" s="45" t="s">
        <v>1629</v>
      </c>
      <c r="BA2" s="45" t="s">
        <v>1630</v>
      </c>
      <c r="BB2" s="45" t="s">
        <v>1629</v>
      </c>
      <c r="BC2" s="45" t="s">
        <v>1630</v>
      </c>
      <c r="BD2" s="45" t="s">
        <v>1629</v>
      </c>
      <c r="BE2" s="45" t="s">
        <v>1630</v>
      </c>
      <c r="BF2" s="45" t="s">
        <v>1629</v>
      </c>
      <c r="BG2" s="45" t="s">
        <v>1630</v>
      </c>
      <c r="BH2" s="45" t="s">
        <v>1629</v>
      </c>
      <c r="BI2" s="45" t="s">
        <v>1630</v>
      </c>
      <c r="BJ2" s="45" t="s">
        <v>1629</v>
      </c>
      <c r="BK2" s="45" t="s">
        <v>1630</v>
      </c>
      <c r="BL2" s="45" t="s">
        <v>1629</v>
      </c>
      <c r="BM2" s="45" t="s">
        <v>1630</v>
      </c>
      <c r="BN2" s="45" t="s">
        <v>1629</v>
      </c>
      <c r="BO2" s="45" t="s">
        <v>1630</v>
      </c>
      <c r="BP2" s="45" t="s">
        <v>1629</v>
      </c>
      <c r="BQ2" s="45" t="s">
        <v>1630</v>
      </c>
      <c r="BR2" s="45" t="s">
        <v>1629</v>
      </c>
      <c r="BS2" s="45" t="s">
        <v>1630</v>
      </c>
      <c r="BT2" s="45" t="s">
        <v>1629</v>
      </c>
      <c r="BU2" s="45" t="s">
        <v>1630</v>
      </c>
      <c r="BV2" s="45" t="s">
        <v>1629</v>
      </c>
      <c r="BW2" s="45" t="s">
        <v>1630</v>
      </c>
      <c r="BX2" s="45" t="s">
        <v>1629</v>
      </c>
      <c r="BY2" s="45" t="s">
        <v>1630</v>
      </c>
      <c r="BZ2" s="45" t="s">
        <v>1629</v>
      </c>
      <c r="CA2" s="45" t="s">
        <v>1630</v>
      </c>
      <c r="CB2" s="45" t="s">
        <v>1629</v>
      </c>
      <c r="CC2" s="45" t="s">
        <v>1630</v>
      </c>
      <c r="CD2" s="45" t="s">
        <v>1629</v>
      </c>
      <c r="CE2" s="45" t="s">
        <v>1630</v>
      </c>
      <c r="CF2" s="45" t="s">
        <v>1629</v>
      </c>
      <c r="CG2" s="45" t="s">
        <v>1630</v>
      </c>
      <c r="CH2" s="45" t="s">
        <v>1629</v>
      </c>
      <c r="CI2" s="45" t="s">
        <v>1630</v>
      </c>
      <c r="CJ2" s="45" t="s">
        <v>1629</v>
      </c>
      <c r="CK2" s="45" t="s">
        <v>1630</v>
      </c>
      <c r="CL2" s="45" t="s">
        <v>1629</v>
      </c>
      <c r="CM2" s="45" t="s">
        <v>1630</v>
      </c>
      <c r="CN2" s="45" t="s">
        <v>1629</v>
      </c>
      <c r="CO2" s="45" t="s">
        <v>1630</v>
      </c>
      <c r="CP2" s="45" t="s">
        <v>1629</v>
      </c>
      <c r="CQ2" s="45" t="s">
        <v>1630</v>
      </c>
      <c r="CR2" s="45" t="s">
        <v>1629</v>
      </c>
      <c r="CS2" s="45" t="s">
        <v>1630</v>
      </c>
      <c r="CT2" s="45" t="s">
        <v>899</v>
      </c>
      <c r="CU2" s="46" t="s">
        <v>1629</v>
      </c>
      <c r="CV2" s="47" t="s">
        <v>1630</v>
      </c>
      <c r="CW2" s="45" t="s">
        <v>1629</v>
      </c>
      <c r="CX2" s="45" t="s">
        <v>1630</v>
      </c>
      <c r="CY2" s="48" t="s">
        <v>1629</v>
      </c>
      <c r="CZ2" s="49" t="s">
        <v>1630</v>
      </c>
      <c r="DA2" s="46" t="s">
        <v>1629</v>
      </c>
      <c r="DB2" s="47" t="s">
        <v>1630</v>
      </c>
      <c r="DC2" s="150" t="s">
        <v>1017</v>
      </c>
      <c r="DD2" s="50"/>
    </row>
    <row r="3" spans="1:108" ht="60" outlineLevel="2">
      <c r="A3" s="178">
        <v>40323</v>
      </c>
      <c r="B3" s="82" t="s">
        <v>1925</v>
      </c>
      <c r="C3" s="82" t="s">
        <v>1926</v>
      </c>
      <c r="D3" s="165" t="s">
        <v>1262</v>
      </c>
      <c r="E3" s="167"/>
      <c r="F3" s="66"/>
      <c r="G3" s="66"/>
      <c r="H3" s="66">
        <f>400*5</f>
        <v>2000</v>
      </c>
      <c r="I3" s="66">
        <f>150+250</f>
        <v>400</v>
      </c>
      <c r="J3" s="66"/>
      <c r="K3" s="66">
        <v>400</v>
      </c>
      <c r="L3" s="66"/>
      <c r="M3" s="66"/>
      <c r="N3" s="66"/>
      <c r="O3" s="66"/>
      <c r="P3" s="66"/>
      <c r="Q3" s="66"/>
      <c r="R3" s="66"/>
      <c r="S3" s="66"/>
      <c r="T3" s="67"/>
      <c r="U3" s="151"/>
      <c r="V3" s="1"/>
      <c r="W3" s="68">
        <f>CT3</f>
        <v>0</v>
      </c>
      <c r="X3" s="68">
        <f>CX3</f>
        <v>0</v>
      </c>
      <c r="Y3" s="68">
        <f>CZ3+DB3</f>
        <v>0</v>
      </c>
      <c r="Z3" s="68">
        <f>CV3</f>
        <v>0</v>
      </c>
      <c r="AA3" s="68"/>
      <c r="AB3" s="68">
        <v>0</v>
      </c>
      <c r="AC3" s="69">
        <f>W3+X3+Y3+Z3+AA3+AB3</f>
        <v>0</v>
      </c>
      <c r="AD3" s="70">
        <v>0</v>
      </c>
      <c r="AE3" s="63">
        <v>40326</v>
      </c>
      <c r="AF3" s="72"/>
      <c r="AG3" s="63" t="s">
        <v>938</v>
      </c>
      <c r="AH3" s="23" t="s">
        <v>939</v>
      </c>
      <c r="AI3" s="60"/>
      <c r="AJ3" s="133" t="s">
        <v>1608</v>
      </c>
      <c r="AK3" s="73" t="s">
        <v>658</v>
      </c>
      <c r="AL3" s="3"/>
      <c r="AM3" s="4"/>
      <c r="AN3" s="5"/>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6"/>
      <c r="CO3" s="7"/>
      <c r="CP3" s="6"/>
      <c r="CQ3" s="7"/>
      <c r="CR3" s="6"/>
      <c r="CS3" s="7"/>
      <c r="CT3" s="8">
        <f>AM3+AO3+AQ3+AS3+AU3+AW3+AY3+BA3+BC3+BE3+BG3+BI3+BK3+BM3+BO3+BQ3+BS3+BU3+BW3+BY3+CA3+CC3+CE3+CG3+CI3+CK3+CM3+CO3+CQ3+CS3</f>
        <v>0</v>
      </c>
      <c r="CU3" s="9"/>
      <c r="CV3" s="10"/>
      <c r="CW3" s="11"/>
      <c r="CX3" s="12"/>
      <c r="CY3" s="26"/>
      <c r="CZ3" s="12"/>
      <c r="DA3" s="9"/>
      <c r="DB3" s="10"/>
      <c r="DC3" s="64"/>
    </row>
    <row r="4" spans="1:108" ht="27" customHeight="1" outlineLevel="1">
      <c r="A4" s="178"/>
      <c r="B4" s="191" t="s">
        <v>2437</v>
      </c>
      <c r="C4" s="82"/>
      <c r="D4" s="165"/>
      <c r="E4" s="167">
        <f t="shared" ref="E4:T4" si="0">SUBTOTAL(9,E3:E3)</f>
        <v>0</v>
      </c>
      <c r="F4" s="66">
        <f t="shared" si="0"/>
        <v>0</v>
      </c>
      <c r="G4" s="66">
        <f t="shared" si="0"/>
        <v>0</v>
      </c>
      <c r="H4" s="66">
        <f t="shared" si="0"/>
        <v>2000</v>
      </c>
      <c r="I4" s="66">
        <f t="shared" si="0"/>
        <v>400</v>
      </c>
      <c r="J4" s="66">
        <f t="shared" si="0"/>
        <v>0</v>
      </c>
      <c r="K4" s="66">
        <f t="shared" si="0"/>
        <v>400</v>
      </c>
      <c r="L4" s="66">
        <f t="shared" si="0"/>
        <v>0</v>
      </c>
      <c r="M4" s="66">
        <f t="shared" si="0"/>
        <v>0</v>
      </c>
      <c r="N4" s="66">
        <f t="shared" si="0"/>
        <v>0</v>
      </c>
      <c r="O4" s="66">
        <f t="shared" si="0"/>
        <v>0</v>
      </c>
      <c r="P4" s="66">
        <f t="shared" si="0"/>
        <v>0</v>
      </c>
      <c r="Q4" s="66">
        <f t="shared" si="0"/>
        <v>0</v>
      </c>
      <c r="R4" s="66">
        <f t="shared" si="0"/>
        <v>0</v>
      </c>
      <c r="S4" s="66">
        <f t="shared" si="0"/>
        <v>0</v>
      </c>
      <c r="T4" s="67">
        <f t="shared" si="0"/>
        <v>0</v>
      </c>
      <c r="U4" s="151"/>
      <c r="V4" s="1"/>
      <c r="W4" s="68">
        <f t="shared" ref="W4:AD4" si="1">SUBTOTAL(9,W3:W3)</f>
        <v>0</v>
      </c>
      <c r="X4" s="68">
        <f t="shared" si="1"/>
        <v>0</v>
      </c>
      <c r="Y4" s="68">
        <f t="shared" si="1"/>
        <v>0</v>
      </c>
      <c r="Z4" s="68">
        <f t="shared" si="1"/>
        <v>0</v>
      </c>
      <c r="AA4" s="68">
        <f t="shared" si="1"/>
        <v>0</v>
      </c>
      <c r="AB4" s="68">
        <f t="shared" si="1"/>
        <v>0</v>
      </c>
      <c r="AC4" s="69">
        <f t="shared" si="1"/>
        <v>0</v>
      </c>
      <c r="AD4" s="70">
        <f t="shared" si="1"/>
        <v>0</v>
      </c>
      <c r="AE4" s="63"/>
      <c r="AF4" s="72"/>
      <c r="AG4" s="63"/>
      <c r="AH4" s="23"/>
      <c r="AI4" s="60"/>
      <c r="AJ4" s="133"/>
      <c r="AK4" s="73"/>
      <c r="AL4" s="3"/>
      <c r="AM4" s="4"/>
      <c r="AN4" s="5"/>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6"/>
      <c r="CO4" s="7"/>
      <c r="CP4" s="6"/>
      <c r="CQ4" s="7"/>
      <c r="CR4" s="6"/>
      <c r="CS4" s="7"/>
      <c r="CT4" s="8"/>
      <c r="CU4" s="9"/>
      <c r="CV4" s="10"/>
      <c r="CW4" s="11"/>
      <c r="CX4" s="12"/>
      <c r="CY4" s="26"/>
      <c r="CZ4" s="12"/>
      <c r="DA4" s="9"/>
      <c r="DB4" s="10"/>
      <c r="DC4" s="64"/>
    </row>
    <row r="5" spans="1:108" ht="24" outlineLevel="2">
      <c r="A5" s="178">
        <v>40280</v>
      </c>
      <c r="B5" s="82" t="s">
        <v>1233</v>
      </c>
      <c r="C5" s="82" t="s">
        <v>851</v>
      </c>
      <c r="D5" s="165" t="s">
        <v>1262</v>
      </c>
      <c r="E5" s="167"/>
      <c r="F5" s="66"/>
      <c r="G5" s="66"/>
      <c r="H5" s="66">
        <v>120</v>
      </c>
      <c r="I5" s="66">
        <v>24</v>
      </c>
      <c r="J5" s="66"/>
      <c r="K5" s="66">
        <v>24</v>
      </c>
      <c r="L5" s="66"/>
      <c r="M5" s="66"/>
      <c r="N5" s="66"/>
      <c r="O5" s="66"/>
      <c r="P5" s="66"/>
      <c r="Q5" s="66"/>
      <c r="R5" s="66"/>
      <c r="S5" s="66"/>
      <c r="T5" s="67"/>
      <c r="U5" s="151"/>
      <c r="V5" s="1"/>
      <c r="W5" s="68">
        <f t="shared" ref="W5:W36" si="2">CT5</f>
        <v>0</v>
      </c>
      <c r="X5" s="68">
        <f t="shared" ref="X5:X36" si="3">CX5</f>
        <v>0</v>
      </c>
      <c r="Y5" s="68">
        <f t="shared" ref="Y5:Y36" si="4">CZ5+DB5</f>
        <v>0</v>
      </c>
      <c r="Z5" s="68">
        <f t="shared" ref="Z5:Z36" si="5">CV5</f>
        <v>0</v>
      </c>
      <c r="AA5" s="68"/>
      <c r="AB5" s="68">
        <v>0</v>
      </c>
      <c r="AC5" s="69">
        <f t="shared" ref="AC5:AC21" si="6">W5+X5+Y5+Z5+AA5+AB5</f>
        <v>0</v>
      </c>
      <c r="AD5" s="70">
        <v>0</v>
      </c>
      <c r="AE5" s="63">
        <v>40281</v>
      </c>
      <c r="AF5" s="72"/>
      <c r="AG5" s="63" t="s">
        <v>938</v>
      </c>
      <c r="AH5" s="23" t="s">
        <v>939</v>
      </c>
      <c r="AI5" s="60"/>
      <c r="AJ5" s="133" t="s">
        <v>1608</v>
      </c>
      <c r="AK5" s="73" t="s">
        <v>810</v>
      </c>
      <c r="AL5" s="3"/>
      <c r="AM5" s="4"/>
      <c r="AN5" s="5"/>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6"/>
      <c r="CO5" s="7"/>
      <c r="CP5" s="6"/>
      <c r="CQ5" s="7"/>
      <c r="CR5" s="6"/>
      <c r="CS5" s="7"/>
      <c r="CT5" s="8">
        <f t="shared" ref="CT5:CT36" si="7">AM5+AO5+AQ5+AS5+AU5+AW5+AY5+BA5+BC5+BE5+BG5+BI5+BK5+BM5+BO5+BQ5+BS5+BU5+BW5+BY5+CA5+CC5+CE5+CG5+CI5+CK5+CM5+CO5+CQ5+CS5</f>
        <v>0</v>
      </c>
      <c r="CU5" s="9"/>
      <c r="CV5" s="10"/>
      <c r="CW5" s="11"/>
      <c r="CX5" s="12"/>
      <c r="CY5" s="26"/>
      <c r="CZ5" s="12"/>
      <c r="DA5" s="9"/>
      <c r="DB5" s="10"/>
      <c r="DC5" s="64"/>
    </row>
    <row r="6" spans="1:108" ht="36" outlineLevel="2">
      <c r="A6" s="178">
        <v>40281</v>
      </c>
      <c r="B6" s="82" t="s">
        <v>1233</v>
      </c>
      <c r="C6" s="82" t="s">
        <v>868</v>
      </c>
      <c r="D6" s="165" t="s">
        <v>1182</v>
      </c>
      <c r="E6" s="167"/>
      <c r="F6" s="66"/>
      <c r="G6" s="66"/>
      <c r="H6" s="66">
        <f>18*5</f>
        <v>90</v>
      </c>
      <c r="I6" s="66">
        <v>18</v>
      </c>
      <c r="J6" s="66"/>
      <c r="K6" s="66">
        <v>18</v>
      </c>
      <c r="L6" s="66"/>
      <c r="M6" s="66"/>
      <c r="N6" s="66"/>
      <c r="O6" s="66"/>
      <c r="P6" s="66"/>
      <c r="Q6" s="66"/>
      <c r="R6" s="66"/>
      <c r="S6" s="66"/>
      <c r="T6" s="67"/>
      <c r="U6" s="151"/>
      <c r="V6" s="1"/>
      <c r="W6" s="68">
        <f t="shared" si="2"/>
        <v>0</v>
      </c>
      <c r="X6" s="68">
        <f t="shared" si="3"/>
        <v>0</v>
      </c>
      <c r="Y6" s="68">
        <f t="shared" si="4"/>
        <v>0</v>
      </c>
      <c r="Z6" s="68">
        <f t="shared" si="5"/>
        <v>0</v>
      </c>
      <c r="AA6" s="68"/>
      <c r="AB6" s="68">
        <v>0</v>
      </c>
      <c r="AC6" s="69">
        <f t="shared" si="6"/>
        <v>0</v>
      </c>
      <c r="AD6" s="70">
        <v>0</v>
      </c>
      <c r="AE6" s="63">
        <v>40282</v>
      </c>
      <c r="AF6" s="72"/>
      <c r="AG6" s="63" t="s">
        <v>938</v>
      </c>
      <c r="AH6" s="23" t="s">
        <v>939</v>
      </c>
      <c r="AI6" s="60"/>
      <c r="AJ6" s="133" t="s">
        <v>1608</v>
      </c>
      <c r="AK6" s="73" t="s">
        <v>869</v>
      </c>
      <c r="AL6" s="3"/>
      <c r="AM6" s="4"/>
      <c r="AN6" s="5"/>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6"/>
      <c r="CO6" s="7"/>
      <c r="CP6" s="6"/>
      <c r="CQ6" s="7"/>
      <c r="CR6" s="6"/>
      <c r="CS6" s="7"/>
      <c r="CT6" s="8">
        <f t="shared" si="7"/>
        <v>0</v>
      </c>
      <c r="CU6" s="9"/>
      <c r="CV6" s="10"/>
      <c r="CW6" s="11"/>
      <c r="CX6" s="12"/>
      <c r="CY6" s="26"/>
      <c r="CZ6" s="12"/>
      <c r="DA6" s="9"/>
      <c r="DB6" s="10"/>
      <c r="DC6" s="64"/>
    </row>
    <row r="7" spans="1:108" ht="24" outlineLevel="2">
      <c r="A7" s="178">
        <v>40282</v>
      </c>
      <c r="B7" s="82" t="s">
        <v>1233</v>
      </c>
      <c r="C7" s="82" t="s">
        <v>1160</v>
      </c>
      <c r="D7" s="165" t="s">
        <v>1262</v>
      </c>
      <c r="E7" s="167"/>
      <c r="F7" s="66"/>
      <c r="G7" s="66"/>
      <c r="H7" s="66">
        <f>27*5</f>
        <v>135</v>
      </c>
      <c r="I7" s="66">
        <v>27</v>
      </c>
      <c r="J7" s="66"/>
      <c r="K7" s="66">
        <v>27</v>
      </c>
      <c r="L7" s="66"/>
      <c r="M7" s="66"/>
      <c r="N7" s="66"/>
      <c r="O7" s="66"/>
      <c r="P7" s="66"/>
      <c r="Q7" s="66"/>
      <c r="R7" s="66"/>
      <c r="S7" s="66"/>
      <c r="T7" s="67"/>
      <c r="U7" s="151"/>
      <c r="V7" s="1"/>
      <c r="W7" s="68">
        <f t="shared" si="2"/>
        <v>0</v>
      </c>
      <c r="X7" s="68">
        <f t="shared" si="3"/>
        <v>0</v>
      </c>
      <c r="Y7" s="68">
        <f t="shared" si="4"/>
        <v>0</v>
      </c>
      <c r="Z7" s="68">
        <f t="shared" si="5"/>
        <v>0</v>
      </c>
      <c r="AA7" s="68"/>
      <c r="AB7" s="68">
        <v>0</v>
      </c>
      <c r="AC7" s="69">
        <f t="shared" si="6"/>
        <v>0</v>
      </c>
      <c r="AD7" s="70">
        <v>0</v>
      </c>
      <c r="AE7" s="63">
        <v>40282</v>
      </c>
      <c r="AF7" s="72"/>
      <c r="AG7" s="63" t="s">
        <v>938</v>
      </c>
      <c r="AH7" s="23" t="s">
        <v>939</v>
      </c>
      <c r="AI7" s="60"/>
      <c r="AJ7" s="133" t="s">
        <v>1608</v>
      </c>
      <c r="AK7" s="73" t="s">
        <v>1238</v>
      </c>
      <c r="AL7" s="3"/>
      <c r="AM7" s="4"/>
      <c r="AN7" s="5"/>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6"/>
      <c r="CO7" s="7"/>
      <c r="CP7" s="6"/>
      <c r="CQ7" s="7"/>
      <c r="CR7" s="6"/>
      <c r="CS7" s="7"/>
      <c r="CT7" s="8">
        <f t="shared" si="7"/>
        <v>0</v>
      </c>
      <c r="CU7" s="9"/>
      <c r="CV7" s="10"/>
      <c r="CW7" s="11"/>
      <c r="CX7" s="12"/>
      <c r="CY7" s="26"/>
      <c r="CZ7" s="12"/>
      <c r="DA7" s="9"/>
      <c r="DB7" s="10"/>
      <c r="DC7" s="64"/>
    </row>
    <row r="8" spans="1:108" ht="22.5" outlineLevel="2">
      <c r="A8" s="178">
        <v>40285</v>
      </c>
      <c r="B8" s="82" t="s">
        <v>1233</v>
      </c>
      <c r="C8" s="82" t="s">
        <v>1643</v>
      </c>
      <c r="D8" s="165" t="s">
        <v>1937</v>
      </c>
      <c r="E8" s="167"/>
      <c r="F8" s="66"/>
      <c r="G8" s="66"/>
      <c r="H8" s="66">
        <f>36*5</f>
        <v>180</v>
      </c>
      <c r="I8" s="66">
        <v>36</v>
      </c>
      <c r="J8" s="66"/>
      <c r="K8" s="66">
        <v>36</v>
      </c>
      <c r="L8" s="66"/>
      <c r="M8" s="66"/>
      <c r="N8" s="66"/>
      <c r="O8" s="66"/>
      <c r="P8" s="66"/>
      <c r="Q8" s="66"/>
      <c r="R8" s="66"/>
      <c r="S8" s="66"/>
      <c r="T8" s="67">
        <v>26</v>
      </c>
      <c r="U8" s="151" t="s">
        <v>1644</v>
      </c>
      <c r="V8" s="1"/>
      <c r="W8" s="68">
        <f t="shared" si="2"/>
        <v>0</v>
      </c>
      <c r="X8" s="68">
        <f t="shared" si="3"/>
        <v>0</v>
      </c>
      <c r="Y8" s="68">
        <f t="shared" si="4"/>
        <v>0</v>
      </c>
      <c r="Z8" s="68">
        <f t="shared" si="5"/>
        <v>0</v>
      </c>
      <c r="AA8" s="68"/>
      <c r="AB8" s="68">
        <v>0</v>
      </c>
      <c r="AC8" s="69">
        <f t="shared" si="6"/>
        <v>0</v>
      </c>
      <c r="AD8" s="70">
        <v>0</v>
      </c>
      <c r="AE8" s="63">
        <v>40292</v>
      </c>
      <c r="AF8" s="72"/>
      <c r="AG8" s="63" t="s">
        <v>938</v>
      </c>
      <c r="AH8" s="23" t="s">
        <v>939</v>
      </c>
      <c r="AI8" s="60"/>
      <c r="AJ8" s="133" t="s">
        <v>1608</v>
      </c>
      <c r="AK8" s="73" t="s">
        <v>1645</v>
      </c>
      <c r="AL8" s="3"/>
      <c r="AM8" s="4"/>
      <c r="AN8" s="5"/>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6"/>
      <c r="CO8" s="7"/>
      <c r="CP8" s="6"/>
      <c r="CQ8" s="7"/>
      <c r="CR8" s="6"/>
      <c r="CS8" s="7"/>
      <c r="CT8" s="8">
        <f t="shared" si="7"/>
        <v>0</v>
      </c>
      <c r="CU8" s="9"/>
      <c r="CV8" s="10"/>
      <c r="CW8" s="11"/>
      <c r="CX8" s="12"/>
      <c r="CY8" s="26"/>
      <c r="CZ8" s="12"/>
      <c r="DA8" s="9"/>
      <c r="DB8" s="10"/>
      <c r="DC8" s="64"/>
    </row>
    <row r="9" spans="1:108" ht="36" outlineLevel="2">
      <c r="A9" s="178">
        <v>40295</v>
      </c>
      <c r="B9" s="82" t="s">
        <v>1233</v>
      </c>
      <c r="C9" s="82" t="s">
        <v>436</v>
      </c>
      <c r="D9" s="165" t="s">
        <v>1262</v>
      </c>
      <c r="E9" s="167"/>
      <c r="F9" s="66"/>
      <c r="G9" s="66"/>
      <c r="H9" s="66">
        <v>385</v>
      </c>
      <c r="I9" s="66">
        <v>77</v>
      </c>
      <c r="J9" s="66"/>
      <c r="K9" s="66">
        <v>77</v>
      </c>
      <c r="L9" s="66"/>
      <c r="M9" s="66"/>
      <c r="N9" s="66"/>
      <c r="O9" s="66"/>
      <c r="P9" s="66"/>
      <c r="Q9" s="66"/>
      <c r="R9" s="66"/>
      <c r="S9" s="66"/>
      <c r="T9" s="67"/>
      <c r="U9" s="151"/>
      <c r="V9" s="1"/>
      <c r="W9" s="68">
        <f t="shared" si="2"/>
        <v>0</v>
      </c>
      <c r="X9" s="68">
        <f t="shared" si="3"/>
        <v>0</v>
      </c>
      <c r="Y9" s="68">
        <f t="shared" si="4"/>
        <v>0</v>
      </c>
      <c r="Z9" s="68">
        <f t="shared" si="5"/>
        <v>0</v>
      </c>
      <c r="AA9" s="68"/>
      <c r="AB9" s="68">
        <v>0</v>
      </c>
      <c r="AC9" s="69">
        <f t="shared" si="6"/>
        <v>0</v>
      </c>
      <c r="AD9" s="70">
        <v>0</v>
      </c>
      <c r="AE9" s="63">
        <v>40296</v>
      </c>
      <c r="AF9" s="72"/>
      <c r="AG9" s="63" t="s">
        <v>938</v>
      </c>
      <c r="AH9" s="23" t="s">
        <v>939</v>
      </c>
      <c r="AI9" s="60"/>
      <c r="AJ9" s="133" t="s">
        <v>1608</v>
      </c>
      <c r="AK9" s="73" t="s">
        <v>1191</v>
      </c>
      <c r="AL9" s="3"/>
      <c r="AM9" s="4"/>
      <c r="AN9" s="5"/>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6"/>
      <c r="CO9" s="7"/>
      <c r="CP9" s="6"/>
      <c r="CQ9" s="7"/>
      <c r="CR9" s="6"/>
      <c r="CS9" s="7"/>
      <c r="CT9" s="8">
        <f t="shared" si="7"/>
        <v>0</v>
      </c>
      <c r="CU9" s="9"/>
      <c r="CV9" s="10"/>
      <c r="CW9" s="11"/>
      <c r="CX9" s="12"/>
      <c r="CY9" s="26"/>
      <c r="CZ9" s="12"/>
      <c r="DA9" s="9"/>
      <c r="DB9" s="10"/>
      <c r="DC9" s="64"/>
    </row>
    <row r="10" spans="1:108" ht="22.5" outlineLevel="2">
      <c r="A10" s="178">
        <v>40295</v>
      </c>
      <c r="B10" s="82" t="s">
        <v>1233</v>
      </c>
      <c r="C10" s="82" t="s">
        <v>1881</v>
      </c>
      <c r="D10" s="165" t="s">
        <v>435</v>
      </c>
      <c r="E10" s="167"/>
      <c r="F10" s="66"/>
      <c r="G10" s="66"/>
      <c r="H10" s="66">
        <v>400</v>
      </c>
      <c r="I10" s="66">
        <v>80</v>
      </c>
      <c r="J10" s="66"/>
      <c r="K10" s="66">
        <v>80</v>
      </c>
      <c r="L10" s="66"/>
      <c r="M10" s="66"/>
      <c r="N10" s="66"/>
      <c r="O10" s="66"/>
      <c r="P10" s="66"/>
      <c r="Q10" s="66"/>
      <c r="R10" s="66"/>
      <c r="S10" s="66"/>
      <c r="T10" s="67"/>
      <c r="U10" s="151"/>
      <c r="V10" s="1"/>
      <c r="W10" s="68">
        <f t="shared" si="2"/>
        <v>0</v>
      </c>
      <c r="X10" s="68">
        <f t="shared" si="3"/>
        <v>0</v>
      </c>
      <c r="Y10" s="68">
        <f t="shared" si="4"/>
        <v>0</v>
      </c>
      <c r="Z10" s="68">
        <f t="shared" si="5"/>
        <v>0</v>
      </c>
      <c r="AA10" s="68"/>
      <c r="AB10" s="68">
        <v>0</v>
      </c>
      <c r="AC10" s="69">
        <f t="shared" si="6"/>
        <v>0</v>
      </c>
      <c r="AD10" s="70">
        <v>0</v>
      </c>
      <c r="AE10" s="63">
        <v>40296</v>
      </c>
      <c r="AF10" s="72"/>
      <c r="AG10" s="63" t="s">
        <v>938</v>
      </c>
      <c r="AH10" s="23" t="s">
        <v>939</v>
      </c>
      <c r="AI10" s="60"/>
      <c r="AJ10" s="133" t="s">
        <v>1608</v>
      </c>
      <c r="AK10" s="73" t="s">
        <v>1882</v>
      </c>
      <c r="AL10" s="3"/>
      <c r="AM10" s="4"/>
      <c r="AN10" s="5"/>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6"/>
      <c r="CO10" s="7"/>
      <c r="CP10" s="6"/>
      <c r="CQ10" s="7"/>
      <c r="CR10" s="6"/>
      <c r="CS10" s="7"/>
      <c r="CT10" s="8">
        <f t="shared" si="7"/>
        <v>0</v>
      </c>
      <c r="CU10" s="9"/>
      <c r="CV10" s="10"/>
      <c r="CW10" s="11"/>
      <c r="CX10" s="12"/>
      <c r="CY10" s="26"/>
      <c r="CZ10" s="12"/>
      <c r="DA10" s="9"/>
      <c r="DB10" s="10"/>
      <c r="DC10" s="64"/>
    </row>
    <row r="11" spans="1:108" ht="24" outlineLevel="2">
      <c r="A11" s="178">
        <v>40301</v>
      </c>
      <c r="B11" s="82" t="s">
        <v>1233</v>
      </c>
      <c r="C11" s="82" t="s">
        <v>1647</v>
      </c>
      <c r="D11" s="165" t="s">
        <v>944</v>
      </c>
      <c r="E11" s="167">
        <v>3</v>
      </c>
      <c r="F11" s="66">
        <v>63</v>
      </c>
      <c r="G11" s="66"/>
      <c r="H11" s="66"/>
      <c r="I11" s="66"/>
      <c r="J11" s="66"/>
      <c r="K11" s="66"/>
      <c r="L11" s="66"/>
      <c r="M11" s="66"/>
      <c r="N11" s="66"/>
      <c r="O11" s="66"/>
      <c r="P11" s="66"/>
      <c r="Q11" s="66"/>
      <c r="R11" s="66"/>
      <c r="S11" s="66"/>
      <c r="T11" s="67"/>
      <c r="U11" s="151"/>
      <c r="V11" s="1"/>
      <c r="W11" s="68">
        <f t="shared" si="2"/>
        <v>0</v>
      </c>
      <c r="X11" s="68">
        <f t="shared" si="3"/>
        <v>0</v>
      </c>
      <c r="Y11" s="68">
        <f t="shared" si="4"/>
        <v>0</v>
      </c>
      <c r="Z11" s="68">
        <f t="shared" si="5"/>
        <v>0</v>
      </c>
      <c r="AA11" s="68"/>
      <c r="AB11" s="68">
        <v>0</v>
      </c>
      <c r="AC11" s="69">
        <f t="shared" si="6"/>
        <v>0</v>
      </c>
      <c r="AD11" s="70">
        <v>0</v>
      </c>
      <c r="AE11" s="63">
        <v>40302</v>
      </c>
      <c r="AF11" s="72"/>
      <c r="AG11" s="63" t="s">
        <v>938</v>
      </c>
      <c r="AH11" s="23" t="s">
        <v>939</v>
      </c>
      <c r="AI11" s="60"/>
      <c r="AJ11" s="133" t="s">
        <v>1608</v>
      </c>
      <c r="AK11" s="73" t="s">
        <v>1648</v>
      </c>
      <c r="AL11" s="3"/>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6"/>
      <c r="CO11" s="7"/>
      <c r="CP11" s="6"/>
      <c r="CQ11" s="7"/>
      <c r="CR11" s="6"/>
      <c r="CS11" s="7"/>
      <c r="CT11" s="8">
        <f t="shared" si="7"/>
        <v>0</v>
      </c>
      <c r="CU11" s="9"/>
      <c r="CV11" s="10"/>
      <c r="CW11" s="11"/>
      <c r="CX11" s="12"/>
      <c r="CY11" s="26"/>
      <c r="CZ11" s="12"/>
      <c r="DA11" s="9"/>
      <c r="DB11" s="10"/>
      <c r="DC11" s="64"/>
    </row>
    <row r="12" spans="1:108" ht="72" outlineLevel="2">
      <c r="A12" s="178">
        <v>40301</v>
      </c>
      <c r="B12" s="82" t="s">
        <v>1233</v>
      </c>
      <c r="C12" s="82" t="s">
        <v>1277</v>
      </c>
      <c r="D12" s="165" t="s">
        <v>1262</v>
      </c>
      <c r="E12" s="167"/>
      <c r="F12" s="66"/>
      <c r="G12" s="66"/>
      <c r="H12" s="66">
        <f>300*5</f>
        <v>1500</v>
      </c>
      <c r="I12" s="66">
        <v>300</v>
      </c>
      <c r="J12" s="66">
        <v>2</v>
      </c>
      <c r="K12" s="66">
        <v>298</v>
      </c>
      <c r="L12" s="66"/>
      <c r="M12" s="66"/>
      <c r="N12" s="66"/>
      <c r="O12" s="66"/>
      <c r="P12" s="66"/>
      <c r="Q12" s="66"/>
      <c r="R12" s="66"/>
      <c r="S12" s="66"/>
      <c r="T12" s="67"/>
      <c r="U12" s="151"/>
      <c r="V12" s="1"/>
      <c r="W12" s="68">
        <f t="shared" si="2"/>
        <v>0</v>
      </c>
      <c r="X12" s="68">
        <f t="shared" si="3"/>
        <v>0</v>
      </c>
      <c r="Y12" s="68">
        <f t="shared" si="4"/>
        <v>0</v>
      </c>
      <c r="Z12" s="68">
        <f t="shared" si="5"/>
        <v>0</v>
      </c>
      <c r="AA12" s="68"/>
      <c r="AB12" s="68">
        <v>0</v>
      </c>
      <c r="AC12" s="69">
        <f t="shared" si="6"/>
        <v>0</v>
      </c>
      <c r="AD12" s="70">
        <v>0</v>
      </c>
      <c r="AE12" s="63">
        <v>40302</v>
      </c>
      <c r="AF12" s="72"/>
      <c r="AG12" s="63" t="s">
        <v>938</v>
      </c>
      <c r="AH12" s="23" t="s">
        <v>939</v>
      </c>
      <c r="AI12" s="60"/>
      <c r="AJ12" s="133" t="s">
        <v>1608</v>
      </c>
      <c r="AK12" s="73" t="s">
        <v>890</v>
      </c>
      <c r="AL12" s="3"/>
      <c r="AM12" s="4"/>
      <c r="AN12" s="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6"/>
      <c r="CO12" s="7"/>
      <c r="CP12" s="6"/>
      <c r="CQ12" s="7"/>
      <c r="CR12" s="6"/>
      <c r="CS12" s="7"/>
      <c r="CT12" s="8">
        <f t="shared" si="7"/>
        <v>0</v>
      </c>
      <c r="CU12" s="9"/>
      <c r="CV12" s="10"/>
      <c r="CW12" s="11"/>
      <c r="CX12" s="12"/>
      <c r="CY12" s="26"/>
      <c r="CZ12" s="12"/>
      <c r="DA12" s="9"/>
      <c r="DB12" s="10"/>
      <c r="DC12" s="64"/>
    </row>
    <row r="13" spans="1:108" ht="24" outlineLevel="2">
      <c r="A13" s="178">
        <v>40302</v>
      </c>
      <c r="B13" s="82" t="s">
        <v>1233</v>
      </c>
      <c r="C13" s="82" t="s">
        <v>1278</v>
      </c>
      <c r="D13" s="165" t="s">
        <v>1262</v>
      </c>
      <c r="E13" s="167"/>
      <c r="F13" s="66"/>
      <c r="G13" s="66"/>
      <c r="H13" s="66">
        <v>10</v>
      </c>
      <c r="I13" s="66">
        <v>2</v>
      </c>
      <c r="J13" s="66">
        <v>2</v>
      </c>
      <c r="K13" s="66"/>
      <c r="L13" s="66"/>
      <c r="M13" s="66"/>
      <c r="N13" s="66"/>
      <c r="O13" s="66"/>
      <c r="P13" s="66"/>
      <c r="Q13" s="66"/>
      <c r="R13" s="66"/>
      <c r="S13" s="66"/>
      <c r="T13" s="67"/>
      <c r="U13" s="151"/>
      <c r="V13" s="1"/>
      <c r="W13" s="68">
        <f t="shared" si="2"/>
        <v>0</v>
      </c>
      <c r="X13" s="68">
        <f t="shared" si="3"/>
        <v>0</v>
      </c>
      <c r="Y13" s="68">
        <f t="shared" si="4"/>
        <v>0</v>
      </c>
      <c r="Z13" s="68">
        <f t="shared" si="5"/>
        <v>0</v>
      </c>
      <c r="AA13" s="68"/>
      <c r="AB13" s="68">
        <v>0</v>
      </c>
      <c r="AC13" s="69">
        <f t="shared" si="6"/>
        <v>0</v>
      </c>
      <c r="AD13" s="70">
        <v>0</v>
      </c>
      <c r="AE13" s="63">
        <v>40302</v>
      </c>
      <c r="AF13" s="72"/>
      <c r="AG13" s="63" t="s">
        <v>938</v>
      </c>
      <c r="AH13" s="23" t="s">
        <v>939</v>
      </c>
      <c r="AI13" s="60"/>
      <c r="AJ13" s="133" t="s">
        <v>1608</v>
      </c>
      <c r="AK13" s="73" t="s">
        <v>1707</v>
      </c>
      <c r="AL13" s="3"/>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6"/>
      <c r="CO13" s="7"/>
      <c r="CP13" s="6"/>
      <c r="CQ13" s="7"/>
      <c r="CR13" s="6"/>
      <c r="CS13" s="7"/>
      <c r="CT13" s="8">
        <f t="shared" si="7"/>
        <v>0</v>
      </c>
      <c r="CU13" s="9"/>
      <c r="CV13" s="10"/>
      <c r="CW13" s="11"/>
      <c r="CX13" s="12"/>
      <c r="CY13" s="26"/>
      <c r="CZ13" s="12"/>
      <c r="DA13" s="9"/>
      <c r="DB13" s="10"/>
      <c r="DC13" s="64"/>
    </row>
    <row r="14" spans="1:108" ht="24" outlineLevel="2">
      <c r="A14" s="178">
        <v>40322</v>
      </c>
      <c r="B14" s="82" t="s">
        <v>1233</v>
      </c>
      <c r="C14" s="82" t="s">
        <v>427</v>
      </c>
      <c r="D14" s="165" t="s">
        <v>435</v>
      </c>
      <c r="E14" s="167"/>
      <c r="F14" s="66"/>
      <c r="G14" s="66"/>
      <c r="H14" s="66">
        <v>500</v>
      </c>
      <c r="I14" s="66">
        <v>100</v>
      </c>
      <c r="J14" s="66"/>
      <c r="K14" s="66">
        <v>100</v>
      </c>
      <c r="L14" s="66"/>
      <c r="M14" s="66"/>
      <c r="N14" s="66"/>
      <c r="O14" s="66"/>
      <c r="P14" s="66"/>
      <c r="Q14" s="66"/>
      <c r="R14" s="66"/>
      <c r="S14" s="66"/>
      <c r="T14" s="67"/>
      <c r="U14" s="151"/>
      <c r="V14" s="1"/>
      <c r="W14" s="68">
        <f t="shared" si="2"/>
        <v>0</v>
      </c>
      <c r="X14" s="68">
        <f t="shared" si="3"/>
        <v>0</v>
      </c>
      <c r="Y14" s="68">
        <f t="shared" si="4"/>
        <v>0</v>
      </c>
      <c r="Z14" s="68">
        <f t="shared" si="5"/>
        <v>0</v>
      </c>
      <c r="AA14" s="68"/>
      <c r="AB14" s="68">
        <v>0</v>
      </c>
      <c r="AC14" s="69">
        <f t="shared" si="6"/>
        <v>0</v>
      </c>
      <c r="AD14" s="70">
        <v>0</v>
      </c>
      <c r="AE14" s="63">
        <v>40323</v>
      </c>
      <c r="AF14" s="72"/>
      <c r="AG14" s="63" t="s">
        <v>938</v>
      </c>
      <c r="AH14" s="23" t="s">
        <v>939</v>
      </c>
      <c r="AI14" s="60"/>
      <c r="AJ14" s="133" t="s">
        <v>1608</v>
      </c>
      <c r="AK14" s="73" t="s">
        <v>1721</v>
      </c>
      <c r="AL14" s="3"/>
      <c r="AM14" s="4"/>
      <c r="AN14" s="5"/>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6"/>
      <c r="CO14" s="7"/>
      <c r="CP14" s="6"/>
      <c r="CQ14" s="7"/>
      <c r="CR14" s="6"/>
      <c r="CS14" s="7"/>
      <c r="CT14" s="8">
        <f t="shared" si="7"/>
        <v>0</v>
      </c>
      <c r="CU14" s="9"/>
      <c r="CV14" s="10"/>
      <c r="CW14" s="11"/>
      <c r="CX14" s="12"/>
      <c r="CY14" s="26"/>
      <c r="CZ14" s="12"/>
      <c r="DA14" s="9"/>
      <c r="DB14" s="10"/>
      <c r="DC14" s="64"/>
    </row>
    <row r="15" spans="1:108" ht="24" outlineLevel="2">
      <c r="A15" s="178">
        <v>40327</v>
      </c>
      <c r="B15" s="82" t="s">
        <v>1233</v>
      </c>
      <c r="C15" s="82" t="s">
        <v>1580</v>
      </c>
      <c r="D15" s="165" t="s">
        <v>1262</v>
      </c>
      <c r="E15" s="167"/>
      <c r="F15" s="66"/>
      <c r="G15" s="66"/>
      <c r="H15" s="66">
        <v>150</v>
      </c>
      <c r="I15" s="86">
        <v>30</v>
      </c>
      <c r="J15" s="66"/>
      <c r="K15" s="66">
        <v>30</v>
      </c>
      <c r="L15" s="66"/>
      <c r="M15" s="66"/>
      <c r="N15" s="66"/>
      <c r="O15" s="66"/>
      <c r="P15" s="66"/>
      <c r="Q15" s="66"/>
      <c r="R15" s="66"/>
      <c r="S15" s="66"/>
      <c r="T15" s="67"/>
      <c r="U15" s="151"/>
      <c r="V15" s="1"/>
      <c r="W15" s="68">
        <f t="shared" si="2"/>
        <v>0</v>
      </c>
      <c r="X15" s="68">
        <f t="shared" si="3"/>
        <v>0</v>
      </c>
      <c r="Y15" s="68">
        <f t="shared" si="4"/>
        <v>0</v>
      </c>
      <c r="Z15" s="68">
        <f t="shared" si="5"/>
        <v>0</v>
      </c>
      <c r="AA15" s="68"/>
      <c r="AB15" s="68">
        <v>0</v>
      </c>
      <c r="AC15" s="69">
        <f t="shared" si="6"/>
        <v>0</v>
      </c>
      <c r="AD15" s="70">
        <v>0</v>
      </c>
      <c r="AE15" s="63">
        <v>40329</v>
      </c>
      <c r="AF15" s="72"/>
      <c r="AG15" s="63" t="s">
        <v>938</v>
      </c>
      <c r="AH15" s="23" t="s">
        <v>939</v>
      </c>
      <c r="AI15" s="60"/>
      <c r="AJ15" s="133" t="s">
        <v>1608</v>
      </c>
      <c r="AK15" s="73" t="s">
        <v>1581</v>
      </c>
      <c r="AL15" s="3"/>
      <c r="AM15" s="4"/>
      <c r="AN15" s="5"/>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6"/>
      <c r="CO15" s="7"/>
      <c r="CP15" s="6"/>
      <c r="CQ15" s="7"/>
      <c r="CR15" s="6"/>
      <c r="CS15" s="7"/>
      <c r="CT15" s="8">
        <f t="shared" si="7"/>
        <v>0</v>
      </c>
      <c r="CU15" s="9"/>
      <c r="CV15" s="10"/>
      <c r="CW15" s="11"/>
      <c r="CX15" s="12"/>
      <c r="CY15" s="26"/>
      <c r="CZ15" s="12"/>
      <c r="DA15" s="9"/>
      <c r="DB15" s="10"/>
      <c r="DC15" s="64"/>
    </row>
    <row r="16" spans="1:108" outlineLevel="2">
      <c r="A16" s="178">
        <v>40327</v>
      </c>
      <c r="B16" s="82" t="s">
        <v>1233</v>
      </c>
      <c r="C16" s="82" t="s">
        <v>1582</v>
      </c>
      <c r="D16" s="165" t="s">
        <v>1262</v>
      </c>
      <c r="E16" s="167"/>
      <c r="F16" s="66"/>
      <c r="G16" s="66"/>
      <c r="H16" s="66">
        <v>50</v>
      </c>
      <c r="I16" s="66">
        <v>10</v>
      </c>
      <c r="J16" s="66"/>
      <c r="K16" s="66">
        <v>10</v>
      </c>
      <c r="L16" s="66"/>
      <c r="M16" s="66"/>
      <c r="N16" s="66"/>
      <c r="O16" s="66"/>
      <c r="P16" s="66"/>
      <c r="Q16" s="66"/>
      <c r="R16" s="66"/>
      <c r="S16" s="66"/>
      <c r="T16" s="67"/>
      <c r="U16" s="151"/>
      <c r="V16" s="1"/>
      <c r="W16" s="68">
        <f t="shared" si="2"/>
        <v>0</v>
      </c>
      <c r="X16" s="68">
        <f t="shared" si="3"/>
        <v>0</v>
      </c>
      <c r="Y16" s="68">
        <f t="shared" si="4"/>
        <v>0</v>
      </c>
      <c r="Z16" s="68">
        <f t="shared" si="5"/>
        <v>0</v>
      </c>
      <c r="AA16" s="68"/>
      <c r="AB16" s="68">
        <v>0</v>
      </c>
      <c r="AC16" s="69">
        <f t="shared" si="6"/>
        <v>0</v>
      </c>
      <c r="AD16" s="70">
        <v>0</v>
      </c>
      <c r="AE16" s="63">
        <v>40329</v>
      </c>
      <c r="AF16" s="72"/>
      <c r="AG16" s="63" t="s">
        <v>938</v>
      </c>
      <c r="AH16" s="23" t="s">
        <v>939</v>
      </c>
      <c r="AI16" s="60"/>
      <c r="AJ16" s="133" t="s">
        <v>1608</v>
      </c>
      <c r="AK16" s="73" t="s">
        <v>1583</v>
      </c>
      <c r="AL16" s="3"/>
      <c r="AM16" s="4"/>
      <c r="AN16" s="5"/>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6"/>
      <c r="CO16" s="7"/>
      <c r="CP16" s="6"/>
      <c r="CQ16" s="7"/>
      <c r="CR16" s="6"/>
      <c r="CS16" s="7"/>
      <c r="CT16" s="8">
        <f t="shared" si="7"/>
        <v>0</v>
      </c>
      <c r="CU16" s="9"/>
      <c r="CV16" s="10"/>
      <c r="CW16" s="11"/>
      <c r="CX16" s="12"/>
      <c r="CY16" s="26"/>
      <c r="CZ16" s="12"/>
      <c r="DA16" s="9"/>
      <c r="DB16" s="10"/>
      <c r="DC16" s="64"/>
    </row>
    <row r="17" spans="1:108" ht="24" outlineLevel="2">
      <c r="A17" s="178">
        <v>40327</v>
      </c>
      <c r="B17" s="82" t="s">
        <v>1233</v>
      </c>
      <c r="C17" s="82" t="s">
        <v>1529</v>
      </c>
      <c r="D17" s="165" t="s">
        <v>1262</v>
      </c>
      <c r="E17" s="167"/>
      <c r="F17" s="66"/>
      <c r="G17" s="66"/>
      <c r="H17" s="66"/>
      <c r="I17" s="66"/>
      <c r="J17" s="66"/>
      <c r="K17" s="66"/>
      <c r="L17" s="66"/>
      <c r="M17" s="66"/>
      <c r="N17" s="66"/>
      <c r="O17" s="66"/>
      <c r="P17" s="66"/>
      <c r="Q17" s="66"/>
      <c r="R17" s="66"/>
      <c r="S17" s="66"/>
      <c r="T17" s="67"/>
      <c r="U17" s="151"/>
      <c r="V17" s="1"/>
      <c r="W17" s="68">
        <f t="shared" si="2"/>
        <v>0</v>
      </c>
      <c r="X17" s="68">
        <f t="shared" si="3"/>
        <v>0</v>
      </c>
      <c r="Y17" s="68">
        <f t="shared" si="4"/>
        <v>0</v>
      </c>
      <c r="Z17" s="68">
        <f t="shared" si="5"/>
        <v>0</v>
      </c>
      <c r="AA17" s="68"/>
      <c r="AB17" s="68">
        <v>0</v>
      </c>
      <c r="AC17" s="69">
        <f t="shared" si="6"/>
        <v>0</v>
      </c>
      <c r="AD17" s="70">
        <v>0</v>
      </c>
      <c r="AE17" s="63">
        <v>40329</v>
      </c>
      <c r="AF17" s="72"/>
      <c r="AG17" s="63" t="s">
        <v>938</v>
      </c>
      <c r="AH17" s="23" t="s">
        <v>939</v>
      </c>
      <c r="AI17" s="60"/>
      <c r="AJ17" s="133" t="s">
        <v>1608</v>
      </c>
      <c r="AK17" s="73" t="s">
        <v>1584</v>
      </c>
      <c r="AL17" s="3"/>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6"/>
      <c r="CO17" s="7"/>
      <c r="CP17" s="6"/>
      <c r="CQ17" s="7"/>
      <c r="CR17" s="6"/>
      <c r="CS17" s="7"/>
      <c r="CT17" s="8">
        <f t="shared" si="7"/>
        <v>0</v>
      </c>
      <c r="CU17" s="9"/>
      <c r="CV17" s="10"/>
      <c r="CW17" s="11"/>
      <c r="CX17" s="12"/>
      <c r="CY17" s="26"/>
      <c r="CZ17" s="12"/>
      <c r="DA17" s="9"/>
      <c r="DB17" s="10"/>
      <c r="DC17" s="64"/>
    </row>
    <row r="18" spans="1:108" outlineLevel="2">
      <c r="A18" s="178">
        <v>40328</v>
      </c>
      <c r="B18" s="82" t="s">
        <v>1233</v>
      </c>
      <c r="C18" s="82" t="s">
        <v>1578</v>
      </c>
      <c r="D18" s="165" t="s">
        <v>1262</v>
      </c>
      <c r="E18" s="167"/>
      <c r="F18" s="66"/>
      <c r="G18" s="66"/>
      <c r="H18" s="66">
        <v>400</v>
      </c>
      <c r="I18" s="66">
        <v>65</v>
      </c>
      <c r="J18" s="66"/>
      <c r="K18" s="66">
        <v>65</v>
      </c>
      <c r="L18" s="66"/>
      <c r="M18" s="66"/>
      <c r="N18" s="66"/>
      <c r="O18" s="66"/>
      <c r="P18" s="66"/>
      <c r="Q18" s="66"/>
      <c r="R18" s="66"/>
      <c r="S18" s="66"/>
      <c r="T18" s="67"/>
      <c r="U18" s="151"/>
      <c r="V18" s="1"/>
      <c r="W18" s="68">
        <f t="shared" si="2"/>
        <v>0</v>
      </c>
      <c r="X18" s="68">
        <f t="shared" si="3"/>
        <v>0</v>
      </c>
      <c r="Y18" s="68">
        <f t="shared" si="4"/>
        <v>0</v>
      </c>
      <c r="Z18" s="68">
        <f t="shared" si="5"/>
        <v>0</v>
      </c>
      <c r="AA18" s="68"/>
      <c r="AB18" s="68">
        <v>0</v>
      </c>
      <c r="AC18" s="69">
        <f t="shared" si="6"/>
        <v>0</v>
      </c>
      <c r="AD18" s="70">
        <v>0</v>
      </c>
      <c r="AE18" s="63">
        <v>40329</v>
      </c>
      <c r="AF18" s="72"/>
      <c r="AG18" s="63" t="s">
        <v>938</v>
      </c>
      <c r="AH18" s="23" t="s">
        <v>939</v>
      </c>
      <c r="AI18" s="60"/>
      <c r="AJ18" s="133" t="s">
        <v>1608</v>
      </c>
      <c r="AK18" s="73" t="s">
        <v>1579</v>
      </c>
      <c r="AL18" s="3"/>
      <c r="AM18" s="4"/>
      <c r="AN18" s="5"/>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6"/>
      <c r="CO18" s="7"/>
      <c r="CP18" s="6"/>
      <c r="CQ18" s="7"/>
      <c r="CR18" s="6"/>
      <c r="CS18" s="7"/>
      <c r="CT18" s="8">
        <f t="shared" si="7"/>
        <v>0</v>
      </c>
      <c r="CU18" s="9"/>
      <c r="CV18" s="10"/>
      <c r="CW18" s="11"/>
      <c r="CX18" s="12"/>
      <c r="CY18" s="26"/>
      <c r="CZ18" s="12"/>
      <c r="DA18" s="9"/>
      <c r="DB18" s="10"/>
      <c r="DC18" s="64"/>
    </row>
    <row r="19" spans="1:108" ht="22.5" outlineLevel="2">
      <c r="A19" s="178">
        <v>40330</v>
      </c>
      <c r="B19" s="82" t="s">
        <v>1233</v>
      </c>
      <c r="C19" s="82" t="s">
        <v>1763</v>
      </c>
      <c r="D19" s="165" t="s">
        <v>1262</v>
      </c>
      <c r="E19" s="167"/>
      <c r="F19" s="66"/>
      <c r="G19" s="66"/>
      <c r="H19" s="66">
        <v>7</v>
      </c>
      <c r="I19" s="66">
        <v>1</v>
      </c>
      <c r="J19" s="66"/>
      <c r="K19" s="66">
        <v>1</v>
      </c>
      <c r="L19" s="66"/>
      <c r="M19" s="66"/>
      <c r="N19" s="66"/>
      <c r="O19" s="66"/>
      <c r="P19" s="66"/>
      <c r="Q19" s="66"/>
      <c r="R19" s="66"/>
      <c r="S19" s="66"/>
      <c r="T19" s="67"/>
      <c r="U19" s="151"/>
      <c r="V19" s="1"/>
      <c r="W19" s="68">
        <f t="shared" si="2"/>
        <v>0</v>
      </c>
      <c r="X19" s="68">
        <f t="shared" si="3"/>
        <v>0</v>
      </c>
      <c r="Y19" s="68">
        <f t="shared" si="4"/>
        <v>0</v>
      </c>
      <c r="Z19" s="68">
        <f t="shared" si="5"/>
        <v>0</v>
      </c>
      <c r="AA19" s="68"/>
      <c r="AB19" s="68">
        <v>0</v>
      </c>
      <c r="AC19" s="69">
        <f t="shared" si="6"/>
        <v>0</v>
      </c>
      <c r="AD19" s="70">
        <v>0</v>
      </c>
      <c r="AE19" s="63">
        <v>40330</v>
      </c>
      <c r="AF19" s="72"/>
      <c r="AG19" s="63" t="s">
        <v>938</v>
      </c>
      <c r="AH19" s="23" t="s">
        <v>939</v>
      </c>
      <c r="AI19" s="60"/>
      <c r="AJ19" s="133" t="s">
        <v>1608</v>
      </c>
      <c r="AK19" s="73" t="s">
        <v>1764</v>
      </c>
      <c r="AL19" s="3"/>
      <c r="AM19" s="4"/>
      <c r="AN19" s="5"/>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6"/>
      <c r="CO19" s="7"/>
      <c r="CP19" s="6"/>
      <c r="CQ19" s="7"/>
      <c r="CR19" s="6"/>
      <c r="CS19" s="7"/>
      <c r="CT19" s="8">
        <f t="shared" si="7"/>
        <v>0</v>
      </c>
      <c r="CU19" s="9"/>
      <c r="CV19" s="10"/>
      <c r="CW19" s="11"/>
      <c r="CX19" s="12"/>
      <c r="CY19" s="26"/>
      <c r="CZ19" s="12"/>
      <c r="DA19" s="9"/>
      <c r="DB19" s="10"/>
      <c r="DC19" s="64"/>
    </row>
    <row r="20" spans="1:108" outlineLevel="2">
      <c r="A20" s="178">
        <v>40332</v>
      </c>
      <c r="B20" s="82" t="s">
        <v>1233</v>
      </c>
      <c r="C20" s="82" t="s">
        <v>1159</v>
      </c>
      <c r="D20" s="165" t="s">
        <v>1182</v>
      </c>
      <c r="E20" s="167">
        <v>2</v>
      </c>
      <c r="F20" s="66">
        <v>5</v>
      </c>
      <c r="G20" s="66"/>
      <c r="H20" s="66">
        <v>7</v>
      </c>
      <c r="I20" s="66">
        <v>1</v>
      </c>
      <c r="J20" s="66">
        <v>1</v>
      </c>
      <c r="K20" s="66"/>
      <c r="L20" s="66"/>
      <c r="M20" s="66"/>
      <c r="N20" s="66"/>
      <c r="O20" s="66"/>
      <c r="P20" s="66"/>
      <c r="Q20" s="66"/>
      <c r="R20" s="66"/>
      <c r="S20" s="66"/>
      <c r="T20" s="67"/>
      <c r="U20" s="151"/>
      <c r="V20" s="1"/>
      <c r="W20" s="68">
        <f t="shared" si="2"/>
        <v>0</v>
      </c>
      <c r="X20" s="68">
        <f t="shared" si="3"/>
        <v>0</v>
      </c>
      <c r="Y20" s="68">
        <f t="shared" si="4"/>
        <v>0</v>
      </c>
      <c r="Z20" s="68">
        <f t="shared" si="5"/>
        <v>0</v>
      </c>
      <c r="AA20" s="68"/>
      <c r="AB20" s="68">
        <v>0</v>
      </c>
      <c r="AC20" s="69">
        <f t="shared" si="6"/>
        <v>0</v>
      </c>
      <c r="AD20" s="70">
        <v>0</v>
      </c>
      <c r="AE20" s="63">
        <v>40332</v>
      </c>
      <c r="AF20" s="72"/>
      <c r="AG20" s="63" t="s">
        <v>938</v>
      </c>
      <c r="AH20" s="23" t="s">
        <v>939</v>
      </c>
      <c r="AI20" s="60"/>
      <c r="AJ20" s="133" t="s">
        <v>1608</v>
      </c>
      <c r="AK20" s="73" t="s">
        <v>1895</v>
      </c>
      <c r="AL20" s="3"/>
      <c r="AM20" s="4"/>
      <c r="AN20" s="5"/>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6"/>
      <c r="CO20" s="7"/>
      <c r="CP20" s="6"/>
      <c r="CQ20" s="7"/>
      <c r="CR20" s="6"/>
      <c r="CS20" s="7"/>
      <c r="CT20" s="8">
        <f t="shared" si="7"/>
        <v>0</v>
      </c>
      <c r="CU20" s="9"/>
      <c r="CV20" s="10"/>
      <c r="CW20" s="11"/>
      <c r="CX20" s="12"/>
      <c r="CY20" s="26"/>
      <c r="CZ20" s="12"/>
      <c r="DA20" s="9"/>
      <c r="DB20" s="10"/>
      <c r="DC20" s="64"/>
    </row>
    <row r="21" spans="1:108" ht="72" outlineLevel="2">
      <c r="A21" s="178">
        <v>40338</v>
      </c>
      <c r="B21" s="82" t="s">
        <v>1233</v>
      </c>
      <c r="C21" s="82" t="s">
        <v>2222</v>
      </c>
      <c r="D21" s="165" t="s">
        <v>1262</v>
      </c>
      <c r="E21" s="167"/>
      <c r="F21" s="66"/>
      <c r="G21" s="66"/>
      <c r="H21" s="66">
        <v>3000</v>
      </c>
      <c r="I21" s="66">
        <v>600</v>
      </c>
      <c r="J21" s="66"/>
      <c r="K21" s="66">
        <v>600</v>
      </c>
      <c r="L21" s="66"/>
      <c r="M21" s="66"/>
      <c r="N21" s="66"/>
      <c r="O21" s="66"/>
      <c r="P21" s="66"/>
      <c r="Q21" s="66"/>
      <c r="R21" s="66"/>
      <c r="S21" s="66"/>
      <c r="T21" s="67"/>
      <c r="U21" s="151"/>
      <c r="V21" s="1"/>
      <c r="W21" s="68">
        <f t="shared" si="2"/>
        <v>0</v>
      </c>
      <c r="X21" s="68">
        <f t="shared" si="3"/>
        <v>0</v>
      </c>
      <c r="Y21" s="68">
        <f t="shared" si="4"/>
        <v>0</v>
      </c>
      <c r="Z21" s="68">
        <f t="shared" si="5"/>
        <v>0</v>
      </c>
      <c r="AA21" s="68"/>
      <c r="AB21" s="68">
        <v>0</v>
      </c>
      <c r="AC21" s="69">
        <f t="shared" si="6"/>
        <v>0</v>
      </c>
      <c r="AD21" s="70">
        <v>0</v>
      </c>
      <c r="AE21" s="63">
        <v>40338</v>
      </c>
      <c r="AF21" s="72"/>
      <c r="AG21" s="63" t="s">
        <v>938</v>
      </c>
      <c r="AH21" s="23" t="s">
        <v>939</v>
      </c>
      <c r="AI21" s="60"/>
      <c r="AJ21" s="133" t="s">
        <v>1608</v>
      </c>
      <c r="AK21" s="73" t="s">
        <v>254</v>
      </c>
      <c r="AL21" s="3"/>
      <c r="AM21" s="4"/>
      <c r="AN21" s="5"/>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6"/>
      <c r="CO21" s="7"/>
      <c r="CP21" s="6"/>
      <c r="CQ21" s="7"/>
      <c r="CR21" s="6"/>
      <c r="CS21" s="7"/>
      <c r="CT21" s="8">
        <f t="shared" si="7"/>
        <v>0</v>
      </c>
      <c r="CU21" s="9"/>
      <c r="CV21" s="10"/>
      <c r="CW21" s="11"/>
      <c r="CX21" s="12"/>
      <c r="CY21" s="26"/>
      <c r="CZ21" s="12"/>
      <c r="DA21" s="9"/>
      <c r="DB21" s="10"/>
      <c r="DC21" s="64"/>
      <c r="DD21" s="22">
        <v>1100</v>
      </c>
    </row>
    <row r="22" spans="1:108" ht="84" outlineLevel="2">
      <c r="A22" s="178">
        <v>40344</v>
      </c>
      <c r="B22" s="82" t="s">
        <v>1233</v>
      </c>
      <c r="C22" s="82" t="s">
        <v>1898</v>
      </c>
      <c r="D22" s="165" t="s">
        <v>1182</v>
      </c>
      <c r="E22" s="167"/>
      <c r="F22" s="66"/>
      <c r="G22" s="66"/>
      <c r="H22" s="66">
        <v>30</v>
      </c>
      <c r="I22" s="66">
        <v>6</v>
      </c>
      <c r="J22" s="66"/>
      <c r="K22" s="66">
        <v>6</v>
      </c>
      <c r="L22" s="66">
        <v>1</v>
      </c>
      <c r="M22" s="66"/>
      <c r="N22" s="66"/>
      <c r="O22" s="66"/>
      <c r="P22" s="66"/>
      <c r="Q22" s="66"/>
      <c r="R22" s="66"/>
      <c r="S22" s="66">
        <v>1</v>
      </c>
      <c r="T22" s="67"/>
      <c r="U22" s="151"/>
      <c r="V22" s="1">
        <v>40350</v>
      </c>
      <c r="W22" s="68">
        <f t="shared" si="2"/>
        <v>0</v>
      </c>
      <c r="X22" s="68">
        <f t="shared" si="3"/>
        <v>0</v>
      </c>
      <c r="Y22" s="68">
        <f t="shared" si="4"/>
        <v>0</v>
      </c>
      <c r="Z22" s="68">
        <f t="shared" si="5"/>
        <v>0</v>
      </c>
      <c r="AA22" s="68"/>
      <c r="AB22" s="68">
        <v>0</v>
      </c>
      <c r="AC22" s="69">
        <v>84320000</v>
      </c>
      <c r="AD22" s="70">
        <v>0</v>
      </c>
      <c r="AE22" s="63">
        <v>40347</v>
      </c>
      <c r="AF22" s="72">
        <v>98350</v>
      </c>
      <c r="AG22" s="63" t="s">
        <v>954</v>
      </c>
      <c r="AH22" s="23" t="s">
        <v>955</v>
      </c>
      <c r="AI22" s="60">
        <v>320</v>
      </c>
      <c r="AJ22" s="133" t="s">
        <v>1440</v>
      </c>
      <c r="AK22" s="73" t="s">
        <v>1441</v>
      </c>
      <c r="AL22" s="3"/>
      <c r="AM22" s="4"/>
      <c r="AN22" s="5"/>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6"/>
      <c r="CO22" s="7"/>
      <c r="CP22" s="6"/>
      <c r="CQ22" s="7"/>
      <c r="CR22" s="6"/>
      <c r="CS22" s="7"/>
      <c r="CT22" s="8">
        <f t="shared" si="7"/>
        <v>0</v>
      </c>
      <c r="CU22" s="9"/>
      <c r="CV22" s="10"/>
      <c r="CW22" s="11"/>
      <c r="CX22" s="12"/>
      <c r="CY22" s="26"/>
      <c r="CZ22" s="12"/>
      <c r="DA22" s="9"/>
      <c r="DB22" s="10"/>
      <c r="DC22" s="64">
        <v>4</v>
      </c>
    </row>
    <row r="23" spans="1:108" outlineLevel="2">
      <c r="A23" s="178">
        <v>40345</v>
      </c>
      <c r="B23" s="82" t="s">
        <v>1233</v>
      </c>
      <c r="C23" s="82" t="s">
        <v>1242</v>
      </c>
      <c r="D23" s="165" t="s">
        <v>1182</v>
      </c>
      <c r="E23" s="167"/>
      <c r="F23" s="66"/>
      <c r="G23" s="66"/>
      <c r="H23" s="66">
        <v>61</v>
      </c>
      <c r="I23" s="66">
        <v>11</v>
      </c>
      <c r="J23" s="66">
        <v>2</v>
      </c>
      <c r="K23" s="66">
        <v>9</v>
      </c>
      <c r="L23" s="66"/>
      <c r="M23" s="66"/>
      <c r="N23" s="66"/>
      <c r="O23" s="66"/>
      <c r="P23" s="66"/>
      <c r="Q23" s="66"/>
      <c r="R23" s="66"/>
      <c r="S23" s="66"/>
      <c r="T23" s="67"/>
      <c r="U23" s="151"/>
      <c r="V23" s="1"/>
      <c r="W23" s="68">
        <f t="shared" si="2"/>
        <v>0</v>
      </c>
      <c r="X23" s="68">
        <f t="shared" si="3"/>
        <v>0</v>
      </c>
      <c r="Y23" s="68">
        <f t="shared" si="4"/>
        <v>0</v>
      </c>
      <c r="Z23" s="68">
        <f t="shared" si="5"/>
        <v>0</v>
      </c>
      <c r="AA23" s="68"/>
      <c r="AB23" s="68">
        <v>0</v>
      </c>
      <c r="AC23" s="69">
        <f t="shared" ref="AC23:AC54" si="8">W23+X23+Y23+Z23+AA23+AB23</f>
        <v>0</v>
      </c>
      <c r="AD23" s="70">
        <v>0</v>
      </c>
      <c r="AE23" s="63">
        <v>40346</v>
      </c>
      <c r="AF23" s="72"/>
      <c r="AG23" s="63" t="s">
        <v>938</v>
      </c>
      <c r="AH23" s="23" t="s">
        <v>939</v>
      </c>
      <c r="AI23" s="60"/>
      <c r="AJ23" s="133" t="s">
        <v>1608</v>
      </c>
      <c r="AK23" s="73" t="s">
        <v>1243</v>
      </c>
      <c r="AL23" s="3"/>
      <c r="AM23" s="4"/>
      <c r="AN23" s="5"/>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6"/>
      <c r="CO23" s="7"/>
      <c r="CP23" s="6"/>
      <c r="CQ23" s="7"/>
      <c r="CR23" s="6"/>
      <c r="CS23" s="7"/>
      <c r="CT23" s="8">
        <f t="shared" si="7"/>
        <v>0</v>
      </c>
      <c r="CU23" s="9"/>
      <c r="CV23" s="10"/>
      <c r="CW23" s="11"/>
      <c r="CX23" s="12"/>
      <c r="CY23" s="26"/>
      <c r="CZ23" s="12"/>
      <c r="DA23" s="9"/>
      <c r="DB23" s="10"/>
      <c r="DC23" s="64"/>
    </row>
    <row r="24" spans="1:108" ht="60" outlineLevel="2">
      <c r="A24" s="178">
        <v>40349</v>
      </c>
      <c r="B24" s="82" t="s">
        <v>1233</v>
      </c>
      <c r="C24" s="82" t="s">
        <v>1277</v>
      </c>
      <c r="D24" s="165" t="s">
        <v>1262</v>
      </c>
      <c r="E24" s="167"/>
      <c r="F24" s="66"/>
      <c r="G24" s="66"/>
      <c r="H24" s="66">
        <v>3150</v>
      </c>
      <c r="I24" s="66">
        <v>630</v>
      </c>
      <c r="J24" s="66"/>
      <c r="K24" s="66">
        <v>630</v>
      </c>
      <c r="L24" s="66"/>
      <c r="M24" s="66"/>
      <c r="N24" s="66"/>
      <c r="O24" s="66"/>
      <c r="P24" s="66"/>
      <c r="Q24" s="66"/>
      <c r="R24" s="66"/>
      <c r="S24" s="66"/>
      <c r="T24" s="67"/>
      <c r="U24" s="151"/>
      <c r="V24" s="1">
        <v>40381</v>
      </c>
      <c r="W24" s="68">
        <f t="shared" si="2"/>
        <v>68344560</v>
      </c>
      <c r="X24" s="68">
        <f t="shared" si="3"/>
        <v>45050000</v>
      </c>
      <c r="Y24" s="68">
        <f t="shared" si="4"/>
        <v>0</v>
      </c>
      <c r="Z24" s="68">
        <f t="shared" si="5"/>
        <v>0</v>
      </c>
      <c r="AA24" s="68"/>
      <c r="AB24" s="68">
        <v>0</v>
      </c>
      <c r="AC24" s="69">
        <f t="shared" si="8"/>
        <v>113394560</v>
      </c>
      <c r="AD24" s="70">
        <v>0</v>
      </c>
      <c r="AE24" s="63">
        <v>40351</v>
      </c>
      <c r="AF24" s="79" t="s">
        <v>1757</v>
      </c>
      <c r="AG24" s="63" t="s">
        <v>954</v>
      </c>
      <c r="AH24" s="23" t="s">
        <v>955</v>
      </c>
      <c r="AI24" s="60">
        <v>210</v>
      </c>
      <c r="AJ24" s="133" t="s">
        <v>415</v>
      </c>
      <c r="AK24" s="73" t="s">
        <v>1905</v>
      </c>
      <c r="AL24" s="3"/>
      <c r="AM24" s="4"/>
      <c r="AN24" s="5"/>
      <c r="AO24" s="4"/>
      <c r="AP24" s="4"/>
      <c r="AQ24" s="4"/>
      <c r="AR24" s="4"/>
      <c r="AS24" s="4"/>
      <c r="AT24" s="4"/>
      <c r="AU24" s="4"/>
      <c r="AV24" s="4"/>
      <c r="AW24" s="4"/>
      <c r="AX24" s="4">
        <v>530</v>
      </c>
      <c r="AY24" s="4">
        <f>530*56000</f>
        <v>29680000</v>
      </c>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6">
        <v>530</v>
      </c>
      <c r="CO24" s="7">
        <f>530*36952</f>
        <v>19584560</v>
      </c>
      <c r="CP24" s="6">
        <v>530</v>
      </c>
      <c r="CQ24" s="7">
        <f>530*36000</f>
        <v>19080000</v>
      </c>
      <c r="CR24" s="6"/>
      <c r="CS24" s="7"/>
      <c r="CT24" s="8">
        <f t="shared" si="7"/>
        <v>68344560</v>
      </c>
      <c r="CU24" s="9"/>
      <c r="CV24" s="10"/>
      <c r="CW24" s="11">
        <v>530</v>
      </c>
      <c r="CX24" s="12">
        <f>530*85000</f>
        <v>45050000</v>
      </c>
      <c r="CY24" s="26"/>
      <c r="CZ24" s="12"/>
      <c r="DA24" s="9"/>
      <c r="DB24" s="10"/>
      <c r="DC24" s="64"/>
    </row>
    <row r="25" spans="1:108" ht="36" outlineLevel="2">
      <c r="A25" s="178">
        <v>40352</v>
      </c>
      <c r="B25" s="82" t="s">
        <v>1233</v>
      </c>
      <c r="C25" s="82" t="s">
        <v>1859</v>
      </c>
      <c r="D25" s="165" t="s">
        <v>1262</v>
      </c>
      <c r="E25" s="167"/>
      <c r="F25" s="66"/>
      <c r="G25" s="66"/>
      <c r="H25" s="66">
        <v>250</v>
      </c>
      <c r="I25" s="66">
        <v>50</v>
      </c>
      <c r="J25" s="66">
        <v>2</v>
      </c>
      <c r="K25" s="66">
        <v>48</v>
      </c>
      <c r="L25" s="66"/>
      <c r="M25" s="66"/>
      <c r="N25" s="66"/>
      <c r="O25" s="66"/>
      <c r="P25" s="66"/>
      <c r="Q25" s="66"/>
      <c r="R25" s="66"/>
      <c r="S25" s="66"/>
      <c r="T25" s="67"/>
      <c r="U25" s="151"/>
      <c r="V25" s="1"/>
      <c r="W25" s="68">
        <f t="shared" si="2"/>
        <v>0</v>
      </c>
      <c r="X25" s="68">
        <f t="shared" si="3"/>
        <v>0</v>
      </c>
      <c r="Y25" s="68">
        <f t="shared" si="4"/>
        <v>0</v>
      </c>
      <c r="Z25" s="68">
        <f t="shared" si="5"/>
        <v>0</v>
      </c>
      <c r="AA25" s="68"/>
      <c r="AB25" s="68">
        <v>0</v>
      </c>
      <c r="AC25" s="69">
        <f t="shared" si="8"/>
        <v>0</v>
      </c>
      <c r="AD25" s="70">
        <v>0</v>
      </c>
      <c r="AE25" s="63">
        <v>40353</v>
      </c>
      <c r="AF25" s="72"/>
      <c r="AG25" s="63" t="s">
        <v>938</v>
      </c>
      <c r="AH25" s="23" t="s">
        <v>939</v>
      </c>
      <c r="AI25" s="60"/>
      <c r="AJ25" s="133" t="s">
        <v>1608</v>
      </c>
      <c r="AK25" s="73" t="s">
        <v>1382</v>
      </c>
      <c r="AL25" s="3"/>
      <c r="AM25" s="4"/>
      <c r="AN25" s="5"/>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6"/>
      <c r="CO25" s="7"/>
      <c r="CP25" s="6"/>
      <c r="CQ25" s="7"/>
      <c r="CR25" s="6"/>
      <c r="CS25" s="7"/>
      <c r="CT25" s="8">
        <f t="shared" si="7"/>
        <v>0</v>
      </c>
      <c r="CU25" s="9"/>
      <c r="CV25" s="10"/>
      <c r="CW25" s="11"/>
      <c r="CX25" s="12"/>
      <c r="CY25" s="26"/>
      <c r="CZ25" s="12"/>
      <c r="DA25" s="9"/>
      <c r="DB25" s="10"/>
      <c r="DC25" s="64"/>
    </row>
    <row r="26" spans="1:108" ht="24" outlineLevel="2">
      <c r="A26" s="178">
        <v>40353</v>
      </c>
      <c r="B26" s="82" t="s">
        <v>1233</v>
      </c>
      <c r="C26" s="82" t="s">
        <v>1242</v>
      </c>
      <c r="D26" s="165" t="s">
        <v>1182</v>
      </c>
      <c r="E26" s="167">
        <v>1</v>
      </c>
      <c r="F26" s="66"/>
      <c r="G26" s="66"/>
      <c r="H26" s="66">
        <v>50</v>
      </c>
      <c r="I26" s="66">
        <v>10</v>
      </c>
      <c r="J26" s="66">
        <v>1</v>
      </c>
      <c r="K26" s="66">
        <v>9</v>
      </c>
      <c r="L26" s="66"/>
      <c r="M26" s="66"/>
      <c r="N26" s="66"/>
      <c r="O26" s="66"/>
      <c r="P26" s="66"/>
      <c r="Q26" s="66"/>
      <c r="R26" s="66"/>
      <c r="S26" s="66"/>
      <c r="T26" s="67"/>
      <c r="U26" s="151"/>
      <c r="V26" s="1"/>
      <c r="W26" s="68">
        <f t="shared" si="2"/>
        <v>0</v>
      </c>
      <c r="X26" s="68">
        <f t="shared" si="3"/>
        <v>0</v>
      </c>
      <c r="Y26" s="68">
        <f t="shared" si="4"/>
        <v>0</v>
      </c>
      <c r="Z26" s="68">
        <f t="shared" si="5"/>
        <v>0</v>
      </c>
      <c r="AA26" s="68"/>
      <c r="AB26" s="68">
        <v>0</v>
      </c>
      <c r="AC26" s="69">
        <f t="shared" si="8"/>
        <v>0</v>
      </c>
      <c r="AD26" s="70">
        <v>0</v>
      </c>
      <c r="AE26" s="63">
        <v>40357</v>
      </c>
      <c r="AF26" s="72"/>
      <c r="AG26" s="63" t="s">
        <v>938</v>
      </c>
      <c r="AH26" s="23" t="s">
        <v>939</v>
      </c>
      <c r="AI26" s="60"/>
      <c r="AJ26" s="133" t="s">
        <v>1608</v>
      </c>
      <c r="AK26" s="73" t="s">
        <v>1384</v>
      </c>
      <c r="AL26" s="3"/>
      <c r="AM26" s="4"/>
      <c r="AN26" s="5"/>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6"/>
      <c r="CO26" s="7"/>
      <c r="CP26" s="6"/>
      <c r="CQ26" s="7"/>
      <c r="CR26" s="6"/>
      <c r="CS26" s="7"/>
      <c r="CT26" s="8">
        <f t="shared" si="7"/>
        <v>0</v>
      </c>
      <c r="CU26" s="9"/>
      <c r="CV26" s="10"/>
      <c r="CW26" s="11"/>
      <c r="CX26" s="12"/>
      <c r="CY26" s="26"/>
      <c r="CZ26" s="12"/>
      <c r="DA26" s="9"/>
      <c r="DB26" s="10"/>
      <c r="DC26" s="64"/>
    </row>
    <row r="27" spans="1:108" outlineLevel="2">
      <c r="A27" s="178">
        <v>40356</v>
      </c>
      <c r="B27" s="82" t="s">
        <v>1233</v>
      </c>
      <c r="C27" s="82" t="s">
        <v>1857</v>
      </c>
      <c r="D27" s="165" t="s">
        <v>435</v>
      </c>
      <c r="E27" s="167"/>
      <c r="F27" s="66"/>
      <c r="G27" s="66"/>
      <c r="H27" s="66">
        <v>60</v>
      </c>
      <c r="I27" s="66">
        <v>15</v>
      </c>
      <c r="J27" s="66"/>
      <c r="K27" s="66">
        <v>15</v>
      </c>
      <c r="L27" s="66"/>
      <c r="M27" s="66"/>
      <c r="N27" s="66"/>
      <c r="O27" s="66"/>
      <c r="P27" s="66"/>
      <c r="Q27" s="66"/>
      <c r="R27" s="66"/>
      <c r="S27" s="66"/>
      <c r="T27" s="67"/>
      <c r="U27" s="151"/>
      <c r="V27" s="1"/>
      <c r="W27" s="68">
        <f t="shared" si="2"/>
        <v>0</v>
      </c>
      <c r="X27" s="68">
        <f t="shared" si="3"/>
        <v>0</v>
      </c>
      <c r="Y27" s="68">
        <f t="shared" si="4"/>
        <v>0</v>
      </c>
      <c r="Z27" s="68">
        <f t="shared" si="5"/>
        <v>0</v>
      </c>
      <c r="AA27" s="68"/>
      <c r="AB27" s="68">
        <v>0</v>
      </c>
      <c r="AC27" s="69">
        <f t="shared" si="8"/>
        <v>0</v>
      </c>
      <c r="AD27" s="70">
        <v>0</v>
      </c>
      <c r="AE27" s="63">
        <v>40357</v>
      </c>
      <c r="AF27" s="72"/>
      <c r="AG27" s="63" t="s">
        <v>938</v>
      </c>
      <c r="AH27" s="23" t="s">
        <v>939</v>
      </c>
      <c r="AI27" s="60"/>
      <c r="AJ27" s="133" t="s">
        <v>1608</v>
      </c>
      <c r="AK27" s="73" t="s">
        <v>1405</v>
      </c>
      <c r="AL27" s="3"/>
      <c r="AM27" s="4"/>
      <c r="AN27" s="5"/>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6"/>
      <c r="CO27" s="7"/>
      <c r="CP27" s="6"/>
      <c r="CQ27" s="7"/>
      <c r="CR27" s="6"/>
      <c r="CS27" s="7"/>
      <c r="CT27" s="8">
        <f t="shared" si="7"/>
        <v>0</v>
      </c>
      <c r="CU27" s="9"/>
      <c r="CV27" s="10"/>
      <c r="CW27" s="11"/>
      <c r="CX27" s="12"/>
      <c r="CY27" s="26"/>
      <c r="CZ27" s="12"/>
      <c r="DA27" s="9"/>
      <c r="DB27" s="10"/>
      <c r="DC27" s="64"/>
    </row>
    <row r="28" spans="1:108" ht="36" outlineLevel="2">
      <c r="A28" s="178">
        <v>40357</v>
      </c>
      <c r="B28" s="82" t="s">
        <v>1233</v>
      </c>
      <c r="C28" s="82" t="s">
        <v>1859</v>
      </c>
      <c r="D28" s="165" t="s">
        <v>1262</v>
      </c>
      <c r="E28" s="167"/>
      <c r="F28" s="66"/>
      <c r="G28" s="66"/>
      <c r="H28" s="66">
        <v>400</v>
      </c>
      <c r="I28" s="66">
        <v>80</v>
      </c>
      <c r="J28" s="66"/>
      <c r="K28" s="66">
        <v>80</v>
      </c>
      <c r="L28" s="66"/>
      <c r="M28" s="66"/>
      <c r="N28" s="66"/>
      <c r="O28" s="66"/>
      <c r="P28" s="66"/>
      <c r="Q28" s="66"/>
      <c r="R28" s="66"/>
      <c r="S28" s="66"/>
      <c r="T28" s="67"/>
      <c r="U28" s="151"/>
      <c r="V28" s="1"/>
      <c r="W28" s="68">
        <f t="shared" si="2"/>
        <v>0</v>
      </c>
      <c r="X28" s="68">
        <f t="shared" si="3"/>
        <v>0</v>
      </c>
      <c r="Y28" s="68">
        <f t="shared" si="4"/>
        <v>0</v>
      </c>
      <c r="Z28" s="68">
        <f t="shared" si="5"/>
        <v>0</v>
      </c>
      <c r="AA28" s="68"/>
      <c r="AB28" s="68">
        <v>0</v>
      </c>
      <c r="AC28" s="69">
        <f t="shared" si="8"/>
        <v>0</v>
      </c>
      <c r="AD28" s="70">
        <v>0</v>
      </c>
      <c r="AE28" s="63">
        <v>40360</v>
      </c>
      <c r="AF28" s="72"/>
      <c r="AG28" s="63" t="s">
        <v>938</v>
      </c>
      <c r="AH28" s="23" t="s">
        <v>939</v>
      </c>
      <c r="AI28" s="60"/>
      <c r="AJ28" s="133" t="s">
        <v>1608</v>
      </c>
      <c r="AK28" s="73" t="s">
        <v>1770</v>
      </c>
      <c r="AL28" s="3"/>
      <c r="AM28" s="4"/>
      <c r="AN28" s="5"/>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6"/>
      <c r="CO28" s="7"/>
      <c r="CP28" s="6"/>
      <c r="CQ28" s="7"/>
      <c r="CR28" s="6"/>
      <c r="CS28" s="7"/>
      <c r="CT28" s="8">
        <f t="shared" si="7"/>
        <v>0</v>
      </c>
      <c r="CU28" s="9"/>
      <c r="CV28" s="10"/>
      <c r="CW28" s="11"/>
      <c r="CX28" s="12"/>
      <c r="CY28" s="26"/>
      <c r="CZ28" s="12"/>
      <c r="DA28" s="9"/>
      <c r="DB28" s="10"/>
      <c r="DC28" s="64"/>
    </row>
    <row r="29" spans="1:108" outlineLevel="2">
      <c r="A29" s="178">
        <v>40357</v>
      </c>
      <c r="B29" s="82" t="s">
        <v>1233</v>
      </c>
      <c r="C29" s="82" t="s">
        <v>1857</v>
      </c>
      <c r="D29" s="165" t="s">
        <v>435</v>
      </c>
      <c r="E29" s="167"/>
      <c r="F29" s="66"/>
      <c r="G29" s="66"/>
      <c r="H29" s="66">
        <v>70</v>
      </c>
      <c r="I29" s="66">
        <v>14</v>
      </c>
      <c r="J29" s="66">
        <v>4</v>
      </c>
      <c r="K29" s="66">
        <v>4</v>
      </c>
      <c r="L29" s="66"/>
      <c r="M29" s="66"/>
      <c r="N29" s="66"/>
      <c r="O29" s="66"/>
      <c r="P29" s="66"/>
      <c r="Q29" s="66"/>
      <c r="R29" s="66"/>
      <c r="S29" s="66"/>
      <c r="T29" s="67"/>
      <c r="U29" s="151"/>
      <c r="V29" s="1"/>
      <c r="W29" s="68">
        <f t="shared" si="2"/>
        <v>0</v>
      </c>
      <c r="X29" s="68">
        <f t="shared" si="3"/>
        <v>0</v>
      </c>
      <c r="Y29" s="68">
        <f t="shared" si="4"/>
        <v>0</v>
      </c>
      <c r="Z29" s="68">
        <f t="shared" si="5"/>
        <v>0</v>
      </c>
      <c r="AA29" s="68"/>
      <c r="AB29" s="68">
        <v>0</v>
      </c>
      <c r="AC29" s="69">
        <f t="shared" si="8"/>
        <v>0</v>
      </c>
      <c r="AD29" s="70">
        <v>0</v>
      </c>
      <c r="AE29" s="63">
        <v>40360</v>
      </c>
      <c r="AF29" s="72"/>
      <c r="AG29" s="63" t="s">
        <v>938</v>
      </c>
      <c r="AH29" s="23" t="s">
        <v>939</v>
      </c>
      <c r="AI29" s="60"/>
      <c r="AJ29" s="133" t="s">
        <v>1608</v>
      </c>
      <c r="AK29" s="73" t="s">
        <v>1612</v>
      </c>
      <c r="AL29" s="3"/>
      <c r="AM29" s="4"/>
      <c r="AN29" s="5"/>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6"/>
      <c r="CO29" s="7"/>
      <c r="CP29" s="6"/>
      <c r="CQ29" s="7"/>
      <c r="CR29" s="6"/>
      <c r="CS29" s="7"/>
      <c r="CT29" s="8">
        <f t="shared" si="7"/>
        <v>0</v>
      </c>
      <c r="CU29" s="9"/>
      <c r="CV29" s="10"/>
      <c r="CW29" s="11"/>
      <c r="CX29" s="12"/>
      <c r="CY29" s="26"/>
      <c r="CZ29" s="12"/>
      <c r="DA29" s="9"/>
      <c r="DB29" s="10"/>
      <c r="DC29" s="64"/>
    </row>
    <row r="30" spans="1:108" ht="36" outlineLevel="2">
      <c r="A30" s="178">
        <v>40357</v>
      </c>
      <c r="B30" s="82" t="s">
        <v>1233</v>
      </c>
      <c r="C30" s="82" t="s">
        <v>1908</v>
      </c>
      <c r="D30" s="165" t="s">
        <v>1262</v>
      </c>
      <c r="E30" s="167"/>
      <c r="F30" s="66"/>
      <c r="G30" s="66"/>
      <c r="H30" s="66">
        <v>30</v>
      </c>
      <c r="I30" s="66">
        <v>6</v>
      </c>
      <c r="J30" s="66"/>
      <c r="K30" s="66">
        <v>6</v>
      </c>
      <c r="L30" s="66"/>
      <c r="M30" s="66"/>
      <c r="N30" s="66"/>
      <c r="O30" s="66"/>
      <c r="P30" s="66"/>
      <c r="Q30" s="66"/>
      <c r="R30" s="66"/>
      <c r="S30" s="66"/>
      <c r="T30" s="67"/>
      <c r="U30" s="151"/>
      <c r="V30" s="1"/>
      <c r="W30" s="68">
        <f t="shared" si="2"/>
        <v>0</v>
      </c>
      <c r="X30" s="68">
        <f t="shared" si="3"/>
        <v>0</v>
      </c>
      <c r="Y30" s="68">
        <f t="shared" si="4"/>
        <v>0</v>
      </c>
      <c r="Z30" s="68">
        <f t="shared" si="5"/>
        <v>0</v>
      </c>
      <c r="AA30" s="68"/>
      <c r="AB30" s="68">
        <v>0</v>
      </c>
      <c r="AC30" s="69">
        <f t="shared" si="8"/>
        <v>0</v>
      </c>
      <c r="AD30" s="70">
        <v>0</v>
      </c>
      <c r="AE30" s="63">
        <v>40360</v>
      </c>
      <c r="AF30" s="72"/>
      <c r="AG30" s="63" t="s">
        <v>938</v>
      </c>
      <c r="AH30" s="23" t="s">
        <v>939</v>
      </c>
      <c r="AI30" s="60"/>
      <c r="AJ30" s="133" t="s">
        <v>1608</v>
      </c>
      <c r="AK30" s="73" t="s">
        <v>1772</v>
      </c>
      <c r="AL30" s="3"/>
      <c r="AM30" s="4"/>
      <c r="AN30" s="5"/>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6"/>
      <c r="CO30" s="7"/>
      <c r="CP30" s="6"/>
      <c r="CQ30" s="7"/>
      <c r="CR30" s="6"/>
      <c r="CS30" s="7"/>
      <c r="CT30" s="8">
        <f t="shared" si="7"/>
        <v>0</v>
      </c>
      <c r="CU30" s="9"/>
      <c r="CV30" s="10"/>
      <c r="CW30" s="11"/>
      <c r="CX30" s="12"/>
      <c r="CY30" s="26"/>
      <c r="CZ30" s="12"/>
      <c r="DA30" s="9"/>
      <c r="DB30" s="10"/>
      <c r="DC30" s="64"/>
    </row>
    <row r="31" spans="1:108" ht="24" outlineLevel="2">
      <c r="A31" s="178">
        <v>40357</v>
      </c>
      <c r="B31" s="82" t="s">
        <v>1233</v>
      </c>
      <c r="C31" s="82" t="s">
        <v>1242</v>
      </c>
      <c r="D31" s="165" t="s">
        <v>1182</v>
      </c>
      <c r="E31" s="167"/>
      <c r="F31" s="66"/>
      <c r="G31" s="66"/>
      <c r="H31" s="66">
        <v>200</v>
      </c>
      <c r="I31" s="66">
        <v>40</v>
      </c>
      <c r="J31" s="66"/>
      <c r="K31" s="66">
        <v>40</v>
      </c>
      <c r="L31" s="66"/>
      <c r="M31" s="66"/>
      <c r="N31" s="66"/>
      <c r="O31" s="66"/>
      <c r="P31" s="66"/>
      <c r="Q31" s="66"/>
      <c r="R31" s="66"/>
      <c r="S31" s="66"/>
      <c r="T31" s="67"/>
      <c r="U31" s="151"/>
      <c r="V31" s="1"/>
      <c r="W31" s="68">
        <f t="shared" si="2"/>
        <v>0</v>
      </c>
      <c r="X31" s="68">
        <f t="shared" si="3"/>
        <v>0</v>
      </c>
      <c r="Y31" s="68">
        <f t="shared" si="4"/>
        <v>0</v>
      </c>
      <c r="Z31" s="68">
        <f t="shared" si="5"/>
        <v>0</v>
      </c>
      <c r="AA31" s="68"/>
      <c r="AB31" s="68">
        <v>0</v>
      </c>
      <c r="AC31" s="69">
        <f t="shared" si="8"/>
        <v>0</v>
      </c>
      <c r="AD31" s="70">
        <v>0</v>
      </c>
      <c r="AE31" s="63">
        <v>40360</v>
      </c>
      <c r="AF31" s="72"/>
      <c r="AG31" s="63" t="s">
        <v>938</v>
      </c>
      <c r="AH31" s="23" t="s">
        <v>939</v>
      </c>
      <c r="AI31" s="60"/>
      <c r="AJ31" s="133" t="s">
        <v>1608</v>
      </c>
      <c r="AK31" s="73" t="s">
        <v>1771</v>
      </c>
      <c r="AL31" s="3"/>
      <c r="AM31" s="4"/>
      <c r="AN31" s="5"/>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6"/>
      <c r="CO31" s="7"/>
      <c r="CP31" s="6"/>
      <c r="CQ31" s="7"/>
      <c r="CR31" s="6"/>
      <c r="CS31" s="7"/>
      <c r="CT31" s="8">
        <f t="shared" si="7"/>
        <v>0</v>
      </c>
      <c r="CU31" s="9"/>
      <c r="CV31" s="10"/>
      <c r="CW31" s="11"/>
      <c r="CX31" s="12"/>
      <c r="CY31" s="26"/>
      <c r="CZ31" s="12"/>
      <c r="DA31" s="9"/>
      <c r="DB31" s="10"/>
      <c r="DC31" s="64"/>
    </row>
    <row r="32" spans="1:108" ht="45" outlineLevel="2">
      <c r="A32" s="178">
        <v>40369</v>
      </c>
      <c r="B32" s="82" t="s">
        <v>1233</v>
      </c>
      <c r="C32" s="82" t="s">
        <v>1470</v>
      </c>
      <c r="D32" s="165" t="s">
        <v>1182</v>
      </c>
      <c r="E32" s="167"/>
      <c r="F32" s="66"/>
      <c r="G32" s="66"/>
      <c r="H32" s="66">
        <f>54*5</f>
        <v>270</v>
      </c>
      <c r="I32" s="66">
        <v>54</v>
      </c>
      <c r="J32" s="66"/>
      <c r="K32" s="66">
        <v>54</v>
      </c>
      <c r="L32" s="66">
        <v>1</v>
      </c>
      <c r="M32" s="66"/>
      <c r="N32" s="66"/>
      <c r="O32" s="66">
        <v>1</v>
      </c>
      <c r="P32" s="66"/>
      <c r="Q32" s="66"/>
      <c r="R32" s="66"/>
      <c r="S32" s="66"/>
      <c r="T32" s="67"/>
      <c r="U32" s="151"/>
      <c r="V32" s="1">
        <v>40421</v>
      </c>
      <c r="W32" s="68">
        <f t="shared" si="2"/>
        <v>11185650</v>
      </c>
      <c r="X32" s="68">
        <f t="shared" si="3"/>
        <v>12750000</v>
      </c>
      <c r="Y32" s="68">
        <f t="shared" si="4"/>
        <v>0</v>
      </c>
      <c r="Z32" s="68">
        <f t="shared" si="5"/>
        <v>0</v>
      </c>
      <c r="AA32" s="68"/>
      <c r="AB32" s="68">
        <v>0</v>
      </c>
      <c r="AC32" s="69">
        <f t="shared" si="8"/>
        <v>23935650</v>
      </c>
      <c r="AD32" s="70">
        <v>0</v>
      </c>
      <c r="AE32" s="63">
        <v>40371</v>
      </c>
      <c r="AF32" s="72">
        <v>35524</v>
      </c>
      <c r="AG32" s="63" t="s">
        <v>954</v>
      </c>
      <c r="AH32" s="23" t="s">
        <v>955</v>
      </c>
      <c r="AI32" s="60">
        <v>283</v>
      </c>
      <c r="AJ32" s="133" t="s">
        <v>415</v>
      </c>
      <c r="AK32" s="73" t="s">
        <v>1985</v>
      </c>
      <c r="AL32" s="3"/>
      <c r="AM32" s="4"/>
      <c r="AN32" s="5"/>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6">
        <v>150</v>
      </c>
      <c r="CO32" s="7">
        <f>150*36595</f>
        <v>5489250</v>
      </c>
      <c r="CP32" s="6">
        <v>150</v>
      </c>
      <c r="CQ32" s="7">
        <f>150*37976</f>
        <v>5696400</v>
      </c>
      <c r="CR32" s="6"/>
      <c r="CS32" s="7"/>
      <c r="CT32" s="8">
        <f t="shared" si="7"/>
        <v>11185650</v>
      </c>
      <c r="CU32" s="9"/>
      <c r="CV32" s="10"/>
      <c r="CW32" s="11">
        <v>150</v>
      </c>
      <c r="CX32" s="12">
        <f>150*85000</f>
        <v>12750000</v>
      </c>
      <c r="CY32" s="26"/>
      <c r="CZ32" s="12"/>
      <c r="DA32" s="9"/>
      <c r="DB32" s="10"/>
      <c r="DC32" s="64"/>
    </row>
    <row r="33" spans="1:107" ht="120" outlineLevel="2">
      <c r="A33" s="178">
        <v>40373</v>
      </c>
      <c r="B33" s="82" t="s">
        <v>1233</v>
      </c>
      <c r="C33" s="82" t="s">
        <v>1449</v>
      </c>
      <c r="D33" s="165" t="s">
        <v>1182</v>
      </c>
      <c r="E33" s="167"/>
      <c r="F33" s="66"/>
      <c r="G33" s="66"/>
      <c r="H33" s="66">
        <v>97</v>
      </c>
      <c r="I33" s="66">
        <v>20</v>
      </c>
      <c r="J33" s="66"/>
      <c r="K33" s="66">
        <v>20</v>
      </c>
      <c r="L33" s="66">
        <v>1</v>
      </c>
      <c r="M33" s="66"/>
      <c r="N33" s="66"/>
      <c r="O33" s="66"/>
      <c r="P33" s="66"/>
      <c r="Q33" s="66"/>
      <c r="R33" s="66"/>
      <c r="S33" s="66"/>
      <c r="T33" s="67"/>
      <c r="U33" s="151"/>
      <c r="V33" s="1">
        <v>40388</v>
      </c>
      <c r="W33" s="68">
        <f t="shared" si="2"/>
        <v>0</v>
      </c>
      <c r="X33" s="68">
        <f t="shared" si="3"/>
        <v>0</v>
      </c>
      <c r="Y33" s="68">
        <f t="shared" si="4"/>
        <v>0</v>
      </c>
      <c r="Z33" s="68">
        <f t="shared" si="5"/>
        <v>0</v>
      </c>
      <c r="AA33" s="68"/>
      <c r="AB33" s="68">
        <v>67850933</v>
      </c>
      <c r="AC33" s="69">
        <f t="shared" si="8"/>
        <v>67850933</v>
      </c>
      <c r="AD33" s="70">
        <v>0</v>
      </c>
      <c r="AE33" s="63">
        <v>40375</v>
      </c>
      <c r="AF33" s="72">
        <v>35347</v>
      </c>
      <c r="AG33" s="63" t="s">
        <v>954</v>
      </c>
      <c r="AH33" s="23" t="s">
        <v>955</v>
      </c>
      <c r="AI33" s="60">
        <v>384</v>
      </c>
      <c r="AJ33" s="133" t="s">
        <v>1450</v>
      </c>
      <c r="AK33" s="73" t="s">
        <v>1970</v>
      </c>
      <c r="AL33" s="3"/>
      <c r="AM33" s="4"/>
      <c r="AN33" s="5"/>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6"/>
      <c r="CO33" s="7"/>
      <c r="CP33" s="6"/>
      <c r="CQ33" s="7"/>
      <c r="CR33" s="6"/>
      <c r="CS33" s="7"/>
      <c r="CT33" s="8">
        <f t="shared" si="7"/>
        <v>0</v>
      </c>
      <c r="CU33" s="9"/>
      <c r="CV33" s="10"/>
      <c r="CW33" s="11"/>
      <c r="CX33" s="12"/>
      <c r="CY33" s="26"/>
      <c r="CZ33" s="12"/>
      <c r="DA33" s="9"/>
      <c r="DB33" s="10"/>
      <c r="DC33" s="76" t="s">
        <v>1269</v>
      </c>
    </row>
    <row r="34" spans="1:107" outlineLevel="2">
      <c r="A34" s="178">
        <v>40374</v>
      </c>
      <c r="B34" s="82" t="s">
        <v>1233</v>
      </c>
      <c r="C34" s="82" t="s">
        <v>1159</v>
      </c>
      <c r="D34" s="165" t="s">
        <v>1182</v>
      </c>
      <c r="E34" s="167"/>
      <c r="F34" s="66"/>
      <c r="G34" s="66"/>
      <c r="H34" s="66">
        <v>30</v>
      </c>
      <c r="I34" s="66">
        <v>6</v>
      </c>
      <c r="J34" s="66"/>
      <c r="K34" s="66">
        <v>6</v>
      </c>
      <c r="L34" s="66"/>
      <c r="M34" s="66"/>
      <c r="N34" s="66"/>
      <c r="O34" s="66"/>
      <c r="P34" s="66"/>
      <c r="Q34" s="66"/>
      <c r="R34" s="66"/>
      <c r="S34" s="66"/>
      <c r="T34" s="67"/>
      <c r="U34" s="151"/>
      <c r="V34" s="1"/>
      <c r="W34" s="68">
        <f t="shared" si="2"/>
        <v>0</v>
      </c>
      <c r="X34" s="68">
        <f t="shared" si="3"/>
        <v>0</v>
      </c>
      <c r="Y34" s="68">
        <f t="shared" si="4"/>
        <v>0</v>
      </c>
      <c r="Z34" s="68">
        <f t="shared" si="5"/>
        <v>0</v>
      </c>
      <c r="AA34" s="68"/>
      <c r="AB34" s="68">
        <v>0</v>
      </c>
      <c r="AC34" s="69">
        <f t="shared" si="8"/>
        <v>0</v>
      </c>
      <c r="AD34" s="70">
        <v>0</v>
      </c>
      <c r="AE34" s="63">
        <v>40375</v>
      </c>
      <c r="AF34" s="72"/>
      <c r="AG34" s="63" t="s">
        <v>938</v>
      </c>
      <c r="AH34" s="23" t="s">
        <v>939</v>
      </c>
      <c r="AI34" s="60"/>
      <c r="AJ34" s="133" t="s">
        <v>1608</v>
      </c>
      <c r="AK34" s="73" t="s">
        <v>903</v>
      </c>
      <c r="AL34" s="3"/>
      <c r="AM34" s="4"/>
      <c r="AN34" s="5"/>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6"/>
      <c r="CO34" s="7"/>
      <c r="CP34" s="6"/>
      <c r="CQ34" s="7"/>
      <c r="CR34" s="6"/>
      <c r="CS34" s="7"/>
      <c r="CT34" s="8">
        <f t="shared" si="7"/>
        <v>0</v>
      </c>
      <c r="CU34" s="9"/>
      <c r="CV34" s="10"/>
      <c r="CW34" s="11"/>
      <c r="CX34" s="12"/>
      <c r="CY34" s="26"/>
      <c r="CZ34" s="12"/>
      <c r="DA34" s="9"/>
      <c r="DB34" s="10"/>
      <c r="DC34" s="64"/>
    </row>
    <row r="35" spans="1:107" ht="24" outlineLevel="2">
      <c r="A35" s="178">
        <v>40375</v>
      </c>
      <c r="B35" s="82" t="s">
        <v>1233</v>
      </c>
      <c r="C35" s="82" t="s">
        <v>1285</v>
      </c>
      <c r="D35" s="165" t="s">
        <v>1262</v>
      </c>
      <c r="E35" s="167"/>
      <c r="F35" s="66"/>
      <c r="G35" s="66"/>
      <c r="H35" s="66">
        <v>1000</v>
      </c>
      <c r="I35" s="66">
        <v>200</v>
      </c>
      <c r="J35" s="66"/>
      <c r="K35" s="66">
        <v>200</v>
      </c>
      <c r="L35" s="66"/>
      <c r="M35" s="66"/>
      <c r="N35" s="66"/>
      <c r="O35" s="66"/>
      <c r="P35" s="66"/>
      <c r="Q35" s="66"/>
      <c r="R35" s="66"/>
      <c r="S35" s="66"/>
      <c r="T35" s="67"/>
      <c r="U35" s="151"/>
      <c r="V35" s="1"/>
      <c r="W35" s="68">
        <f t="shared" si="2"/>
        <v>0</v>
      </c>
      <c r="X35" s="68">
        <f t="shared" si="3"/>
        <v>0</v>
      </c>
      <c r="Y35" s="68">
        <f t="shared" si="4"/>
        <v>0</v>
      </c>
      <c r="Z35" s="68">
        <f t="shared" si="5"/>
        <v>0</v>
      </c>
      <c r="AA35" s="68"/>
      <c r="AB35" s="68">
        <v>0</v>
      </c>
      <c r="AC35" s="69">
        <f t="shared" si="8"/>
        <v>0</v>
      </c>
      <c r="AD35" s="70">
        <v>0</v>
      </c>
      <c r="AE35" s="63">
        <v>40377</v>
      </c>
      <c r="AF35" s="72"/>
      <c r="AG35" s="63" t="s">
        <v>954</v>
      </c>
      <c r="AH35" s="23" t="s">
        <v>955</v>
      </c>
      <c r="AI35" s="60"/>
      <c r="AJ35" s="124" t="s">
        <v>7</v>
      </c>
      <c r="AK35" s="73" t="s">
        <v>1286</v>
      </c>
      <c r="AL35" s="3"/>
      <c r="AM35" s="4"/>
      <c r="AN35" s="5"/>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6"/>
      <c r="CO35" s="7"/>
      <c r="CP35" s="6"/>
      <c r="CQ35" s="7"/>
      <c r="CR35" s="6"/>
      <c r="CS35" s="7"/>
      <c r="CT35" s="8">
        <f t="shared" si="7"/>
        <v>0</v>
      </c>
      <c r="CU35" s="9"/>
      <c r="CV35" s="10"/>
      <c r="CW35" s="11"/>
      <c r="CX35" s="12"/>
      <c r="CY35" s="26"/>
      <c r="CZ35" s="12"/>
      <c r="DA35" s="9"/>
      <c r="DB35" s="10"/>
      <c r="DC35" s="64"/>
    </row>
    <row r="36" spans="1:107" ht="168" outlineLevel="2">
      <c r="A36" s="178">
        <v>40375</v>
      </c>
      <c r="B36" s="82" t="s">
        <v>1233</v>
      </c>
      <c r="C36" s="82" t="s">
        <v>1284</v>
      </c>
      <c r="D36" s="165" t="s">
        <v>1262</v>
      </c>
      <c r="E36" s="167"/>
      <c r="F36" s="66"/>
      <c r="G36" s="66"/>
      <c r="H36" s="66">
        <v>6000</v>
      </c>
      <c r="I36" s="66">
        <v>1200</v>
      </c>
      <c r="J36" s="66"/>
      <c r="K36" s="66">
        <v>1200</v>
      </c>
      <c r="L36" s="66"/>
      <c r="M36" s="66"/>
      <c r="N36" s="66"/>
      <c r="O36" s="66"/>
      <c r="P36" s="66"/>
      <c r="Q36" s="66"/>
      <c r="R36" s="66"/>
      <c r="S36" s="66"/>
      <c r="T36" s="67"/>
      <c r="U36" s="151"/>
      <c r="V36" s="1"/>
      <c r="W36" s="68">
        <f t="shared" si="2"/>
        <v>0</v>
      </c>
      <c r="X36" s="68">
        <f t="shared" si="3"/>
        <v>0</v>
      </c>
      <c r="Y36" s="68">
        <f t="shared" si="4"/>
        <v>0</v>
      </c>
      <c r="Z36" s="68">
        <f t="shared" si="5"/>
        <v>0</v>
      </c>
      <c r="AA36" s="68"/>
      <c r="AB36" s="68">
        <v>0</v>
      </c>
      <c r="AC36" s="69">
        <f t="shared" si="8"/>
        <v>0</v>
      </c>
      <c r="AD36" s="70">
        <v>0</v>
      </c>
      <c r="AE36" s="63">
        <v>40377</v>
      </c>
      <c r="AF36" s="72"/>
      <c r="AG36" s="63" t="s">
        <v>938</v>
      </c>
      <c r="AH36" s="23" t="s">
        <v>939</v>
      </c>
      <c r="AI36" s="60"/>
      <c r="AJ36" s="133" t="s">
        <v>1608</v>
      </c>
      <c r="AK36" s="73" t="s">
        <v>1818</v>
      </c>
      <c r="AL36" s="3"/>
      <c r="AM36" s="4"/>
      <c r="AN36" s="5"/>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6"/>
      <c r="CO36" s="7"/>
      <c r="CP36" s="6"/>
      <c r="CQ36" s="7"/>
      <c r="CR36" s="6"/>
      <c r="CS36" s="7"/>
      <c r="CT36" s="8">
        <f t="shared" si="7"/>
        <v>0</v>
      </c>
      <c r="CU36" s="9"/>
      <c r="CV36" s="10"/>
      <c r="CW36" s="11"/>
      <c r="CX36" s="12"/>
      <c r="CY36" s="26"/>
      <c r="CZ36" s="12"/>
      <c r="DA36" s="9"/>
      <c r="DB36" s="10"/>
      <c r="DC36" s="64"/>
    </row>
    <row r="37" spans="1:107" ht="24" outlineLevel="2">
      <c r="A37" s="178">
        <v>40375</v>
      </c>
      <c r="B37" s="82" t="s">
        <v>1233</v>
      </c>
      <c r="C37" s="82" t="s">
        <v>1137</v>
      </c>
      <c r="D37" s="165" t="s">
        <v>1182</v>
      </c>
      <c r="E37" s="167"/>
      <c r="F37" s="66"/>
      <c r="G37" s="66"/>
      <c r="H37" s="66"/>
      <c r="I37" s="66"/>
      <c r="J37" s="66"/>
      <c r="K37" s="66"/>
      <c r="L37" s="66"/>
      <c r="M37" s="66"/>
      <c r="N37" s="66"/>
      <c r="O37" s="66"/>
      <c r="P37" s="66"/>
      <c r="Q37" s="66"/>
      <c r="R37" s="66"/>
      <c r="S37" s="66"/>
      <c r="T37" s="67"/>
      <c r="U37" s="151"/>
      <c r="V37" s="1"/>
      <c r="W37" s="68">
        <f t="shared" ref="W37:W68" si="9">CT37</f>
        <v>0</v>
      </c>
      <c r="X37" s="68">
        <f t="shared" ref="X37:X68" si="10">CX37</f>
        <v>0</v>
      </c>
      <c r="Y37" s="68">
        <f t="shared" ref="Y37:Y68" si="11">CZ37+DB37</f>
        <v>0</v>
      </c>
      <c r="Z37" s="68">
        <f t="shared" ref="Z37:Z68" si="12">CV37</f>
        <v>0</v>
      </c>
      <c r="AA37" s="68"/>
      <c r="AB37" s="68">
        <v>0</v>
      </c>
      <c r="AC37" s="69">
        <f t="shared" si="8"/>
        <v>0</v>
      </c>
      <c r="AD37" s="70">
        <v>0</v>
      </c>
      <c r="AE37" s="63">
        <v>40381</v>
      </c>
      <c r="AF37" s="72"/>
      <c r="AG37" s="63" t="s">
        <v>938</v>
      </c>
      <c r="AH37" s="23" t="s">
        <v>939</v>
      </c>
      <c r="AI37" s="60"/>
      <c r="AJ37" s="133" t="s">
        <v>1608</v>
      </c>
      <c r="AK37" s="73" t="s">
        <v>1138</v>
      </c>
      <c r="AL37" s="3"/>
      <c r="AM37" s="4"/>
      <c r="AN37" s="5"/>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6"/>
      <c r="CO37" s="7"/>
      <c r="CP37" s="6"/>
      <c r="CQ37" s="7"/>
      <c r="CR37" s="6"/>
      <c r="CS37" s="7"/>
      <c r="CT37" s="8">
        <f t="shared" ref="CT37:CT68" si="13">AM37+AO37+AQ37+AS37+AU37+AW37+AY37+BA37+BC37+BE37+BG37+BI37+BK37+BM37+BO37+BQ37+BS37+BU37+BW37+BY37+CA37+CC37+CE37+CG37+CI37+CK37+CM37+CO37+CQ37+CS37</f>
        <v>0</v>
      </c>
      <c r="CU37" s="9"/>
      <c r="CV37" s="10"/>
      <c r="CW37" s="11"/>
      <c r="CX37" s="12"/>
      <c r="CY37" s="26"/>
      <c r="CZ37" s="12"/>
      <c r="DA37" s="9"/>
      <c r="DB37" s="10"/>
      <c r="DC37" s="64"/>
    </row>
    <row r="38" spans="1:107" ht="24" outlineLevel="2">
      <c r="A38" s="178">
        <v>40375</v>
      </c>
      <c r="B38" s="82" t="s">
        <v>1233</v>
      </c>
      <c r="C38" s="82" t="s">
        <v>868</v>
      </c>
      <c r="D38" s="165" t="s">
        <v>1182</v>
      </c>
      <c r="E38" s="167"/>
      <c r="F38" s="66"/>
      <c r="G38" s="66"/>
      <c r="H38" s="66">
        <v>5</v>
      </c>
      <c r="I38" s="66">
        <v>1</v>
      </c>
      <c r="J38" s="66"/>
      <c r="K38" s="66">
        <v>1</v>
      </c>
      <c r="L38" s="66"/>
      <c r="M38" s="66"/>
      <c r="N38" s="66"/>
      <c r="O38" s="66"/>
      <c r="P38" s="66"/>
      <c r="Q38" s="66"/>
      <c r="R38" s="66"/>
      <c r="S38" s="66"/>
      <c r="T38" s="67"/>
      <c r="U38" s="151"/>
      <c r="V38" s="1"/>
      <c r="W38" s="68">
        <f t="shared" si="9"/>
        <v>0</v>
      </c>
      <c r="X38" s="68">
        <f t="shared" si="10"/>
        <v>0</v>
      </c>
      <c r="Y38" s="68">
        <f t="shared" si="11"/>
        <v>0</v>
      </c>
      <c r="Z38" s="68">
        <f t="shared" si="12"/>
        <v>0</v>
      </c>
      <c r="AA38" s="68"/>
      <c r="AB38" s="68">
        <v>0</v>
      </c>
      <c r="AC38" s="69">
        <f t="shared" si="8"/>
        <v>0</v>
      </c>
      <c r="AD38" s="70">
        <v>0</v>
      </c>
      <c r="AE38" s="63">
        <v>40377</v>
      </c>
      <c r="AF38" s="72"/>
      <c r="AG38" s="63" t="s">
        <v>938</v>
      </c>
      <c r="AH38" s="23" t="s">
        <v>939</v>
      </c>
      <c r="AI38" s="60"/>
      <c r="AJ38" s="133" t="s">
        <v>1608</v>
      </c>
      <c r="AK38" s="73" t="s">
        <v>1283</v>
      </c>
      <c r="AL38" s="3"/>
      <c r="AM38" s="4"/>
      <c r="AN38" s="5"/>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6"/>
      <c r="CO38" s="7"/>
      <c r="CP38" s="6"/>
      <c r="CQ38" s="7"/>
      <c r="CR38" s="6"/>
      <c r="CS38" s="7"/>
      <c r="CT38" s="8">
        <f t="shared" si="13"/>
        <v>0</v>
      </c>
      <c r="CU38" s="9"/>
      <c r="CV38" s="10"/>
      <c r="CW38" s="11"/>
      <c r="CX38" s="12"/>
      <c r="CY38" s="26"/>
      <c r="CZ38" s="12"/>
      <c r="DA38" s="9"/>
      <c r="DB38" s="10"/>
      <c r="DC38" s="64"/>
    </row>
    <row r="39" spans="1:107" ht="56.25" outlineLevel="2">
      <c r="A39" s="178">
        <v>40375</v>
      </c>
      <c r="B39" s="82" t="s">
        <v>1233</v>
      </c>
      <c r="C39" s="82" t="s">
        <v>1607</v>
      </c>
      <c r="D39" s="165" t="s">
        <v>1262</v>
      </c>
      <c r="E39" s="167"/>
      <c r="F39" s="66"/>
      <c r="G39" s="66"/>
      <c r="H39" s="66">
        <f>2700*5</f>
        <v>13500</v>
      </c>
      <c r="I39" s="66">
        <v>2700</v>
      </c>
      <c r="J39" s="66"/>
      <c r="K39" s="66">
        <v>2700</v>
      </c>
      <c r="L39" s="66"/>
      <c r="M39" s="66"/>
      <c r="N39" s="66"/>
      <c r="O39" s="66"/>
      <c r="P39" s="66"/>
      <c r="Q39" s="66"/>
      <c r="R39" s="66"/>
      <c r="S39" s="66"/>
      <c r="T39" s="67"/>
      <c r="U39" s="151"/>
      <c r="V39" s="1">
        <v>40396</v>
      </c>
      <c r="W39" s="68">
        <f t="shared" si="9"/>
        <v>142418500</v>
      </c>
      <c r="X39" s="68">
        <f t="shared" si="10"/>
        <v>127500000</v>
      </c>
      <c r="Y39" s="68">
        <f t="shared" si="11"/>
        <v>0</v>
      </c>
      <c r="Z39" s="68">
        <f t="shared" si="12"/>
        <v>18100000</v>
      </c>
      <c r="AA39" s="68">
        <f>350*25288+150*17400</f>
        <v>11460800</v>
      </c>
      <c r="AB39" s="68">
        <v>0</v>
      </c>
      <c r="AC39" s="69">
        <f t="shared" si="8"/>
        <v>299479300</v>
      </c>
      <c r="AD39" s="70">
        <v>0</v>
      </c>
      <c r="AE39" s="63">
        <v>40378</v>
      </c>
      <c r="AF39" s="72">
        <v>36530</v>
      </c>
      <c r="AG39" s="63" t="s">
        <v>954</v>
      </c>
      <c r="AH39" s="23" t="s">
        <v>955</v>
      </c>
      <c r="AI39" s="75" t="s">
        <v>352</v>
      </c>
      <c r="AJ39" s="133" t="s">
        <v>1476</v>
      </c>
      <c r="AK39" s="73" t="s">
        <v>1559</v>
      </c>
      <c r="AL39" s="3"/>
      <c r="AM39" s="4"/>
      <c r="AN39" s="5"/>
      <c r="AO39" s="4"/>
      <c r="AP39" s="4"/>
      <c r="AQ39" s="4"/>
      <c r="AR39" s="4"/>
      <c r="AS39" s="4"/>
      <c r="AT39" s="4"/>
      <c r="AU39" s="4"/>
      <c r="AV39" s="4"/>
      <c r="AW39" s="4"/>
      <c r="AX39" s="4"/>
      <c r="AY39" s="4"/>
      <c r="AZ39" s="4"/>
      <c r="BA39" s="4"/>
      <c r="BB39" s="4"/>
      <c r="BC39" s="4"/>
      <c r="BD39" s="4"/>
      <c r="BE39" s="4"/>
      <c r="BF39" s="4"/>
      <c r="BG39" s="4"/>
      <c r="BH39" s="4"/>
      <c r="BI39" s="4"/>
      <c r="BJ39" s="4">
        <v>500</v>
      </c>
      <c r="BK39" s="4">
        <f>500*25500</f>
        <v>12750000</v>
      </c>
      <c r="BL39" s="4"/>
      <c r="BM39" s="4"/>
      <c r="BN39" s="4"/>
      <c r="BO39" s="4"/>
      <c r="BP39" s="4"/>
      <c r="BQ39" s="4"/>
      <c r="BR39" s="4"/>
      <c r="BS39" s="4"/>
      <c r="BT39" s="4"/>
      <c r="BU39" s="4"/>
      <c r="BV39" s="4"/>
      <c r="BW39" s="4"/>
      <c r="BX39" s="4">
        <v>15</v>
      </c>
      <c r="BY39" s="4">
        <f>15*504600</f>
        <v>7569000</v>
      </c>
      <c r="BZ39" s="4"/>
      <c r="CA39" s="4"/>
      <c r="CB39" s="4"/>
      <c r="CC39" s="4"/>
      <c r="CD39" s="4"/>
      <c r="CE39" s="4"/>
      <c r="CF39" s="4"/>
      <c r="CG39" s="4"/>
      <c r="CH39" s="4">
        <v>500</v>
      </c>
      <c r="CI39" s="4">
        <f>500*22000</f>
        <v>11000000</v>
      </c>
      <c r="CJ39" s="4"/>
      <c r="CK39" s="4"/>
      <c r="CL39" s="4"/>
      <c r="CM39" s="4"/>
      <c r="CN39" s="6">
        <f>1000+500</f>
        <v>1500</v>
      </c>
      <c r="CO39" s="7">
        <f>1000*36952+500*36595</f>
        <v>55249500</v>
      </c>
      <c r="CP39" s="6">
        <f>1000+500</f>
        <v>1500</v>
      </c>
      <c r="CQ39" s="7">
        <f>1000*36000+500*39700</f>
        <v>55850000</v>
      </c>
      <c r="CR39" s="6"/>
      <c r="CS39" s="7"/>
      <c r="CT39" s="8">
        <f t="shared" si="13"/>
        <v>142418500</v>
      </c>
      <c r="CU39" s="9">
        <v>20000</v>
      </c>
      <c r="CV39" s="10">
        <f>20000*905</f>
        <v>18100000</v>
      </c>
      <c r="CW39" s="11">
        <f>1000+500</f>
        <v>1500</v>
      </c>
      <c r="CX39" s="12">
        <f>1000*85000+500*85000</f>
        <v>127500000</v>
      </c>
      <c r="CY39" s="26"/>
      <c r="CZ39" s="12"/>
      <c r="DA39" s="9"/>
      <c r="DB39" s="10"/>
      <c r="DC39" s="64"/>
    </row>
    <row r="40" spans="1:107" ht="48" outlineLevel="2">
      <c r="A40" s="178">
        <v>40375</v>
      </c>
      <c r="B40" s="82" t="s">
        <v>1233</v>
      </c>
      <c r="C40" s="82" t="s">
        <v>1578</v>
      </c>
      <c r="D40" s="165" t="s">
        <v>1262</v>
      </c>
      <c r="E40" s="167"/>
      <c r="F40" s="66">
        <v>5</v>
      </c>
      <c r="G40" s="66"/>
      <c r="H40" s="66">
        <v>600</v>
      </c>
      <c r="I40" s="66">
        <v>141</v>
      </c>
      <c r="J40" s="66">
        <v>11</v>
      </c>
      <c r="K40" s="66">
        <v>130</v>
      </c>
      <c r="L40" s="66"/>
      <c r="M40" s="66"/>
      <c r="N40" s="66"/>
      <c r="O40" s="66"/>
      <c r="P40" s="66"/>
      <c r="Q40" s="66"/>
      <c r="R40" s="66"/>
      <c r="S40" s="66"/>
      <c r="T40" s="67"/>
      <c r="U40" s="151"/>
      <c r="V40" s="1"/>
      <c r="W40" s="68">
        <f t="shared" si="9"/>
        <v>0</v>
      </c>
      <c r="X40" s="68">
        <f t="shared" si="10"/>
        <v>0</v>
      </c>
      <c r="Y40" s="68">
        <f t="shared" si="11"/>
        <v>0</v>
      </c>
      <c r="Z40" s="68">
        <f t="shared" si="12"/>
        <v>0</v>
      </c>
      <c r="AA40" s="68"/>
      <c r="AB40" s="68">
        <v>0</v>
      </c>
      <c r="AC40" s="69">
        <f t="shared" si="8"/>
        <v>0</v>
      </c>
      <c r="AD40" s="70">
        <v>0</v>
      </c>
      <c r="AE40" s="63">
        <v>40381</v>
      </c>
      <c r="AF40" s="72"/>
      <c r="AG40" s="63" t="s">
        <v>938</v>
      </c>
      <c r="AH40" s="23" t="s">
        <v>939</v>
      </c>
      <c r="AI40" s="60"/>
      <c r="AJ40" s="133" t="s">
        <v>1608</v>
      </c>
      <c r="AK40" s="73" t="s">
        <v>1139</v>
      </c>
      <c r="AL40" s="3"/>
      <c r="AM40" s="4"/>
      <c r="AN40" s="5"/>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6"/>
      <c r="CO40" s="7"/>
      <c r="CP40" s="6"/>
      <c r="CQ40" s="7"/>
      <c r="CR40" s="6"/>
      <c r="CS40" s="7"/>
      <c r="CT40" s="8">
        <f t="shared" si="13"/>
        <v>0</v>
      </c>
      <c r="CU40" s="9"/>
      <c r="CV40" s="10"/>
      <c r="CW40" s="11"/>
      <c r="CX40" s="12"/>
      <c r="CY40" s="26"/>
      <c r="CZ40" s="12"/>
      <c r="DA40" s="9"/>
      <c r="DB40" s="10"/>
      <c r="DC40" s="64"/>
    </row>
    <row r="41" spans="1:107" ht="24" outlineLevel="2">
      <c r="A41" s="178">
        <v>40376</v>
      </c>
      <c r="B41" s="82" t="s">
        <v>1233</v>
      </c>
      <c r="C41" s="82" t="s">
        <v>2370</v>
      </c>
      <c r="D41" s="165" t="s">
        <v>1262</v>
      </c>
      <c r="E41" s="167"/>
      <c r="F41" s="66"/>
      <c r="G41" s="66"/>
      <c r="H41" s="66">
        <v>125</v>
      </c>
      <c r="I41" s="66">
        <v>25</v>
      </c>
      <c r="J41" s="66"/>
      <c r="K41" s="66">
        <v>25</v>
      </c>
      <c r="L41" s="66"/>
      <c r="M41" s="66"/>
      <c r="N41" s="66"/>
      <c r="O41" s="66"/>
      <c r="P41" s="66"/>
      <c r="Q41" s="66"/>
      <c r="R41" s="66"/>
      <c r="S41" s="66"/>
      <c r="T41" s="67"/>
      <c r="U41" s="151"/>
      <c r="V41" s="1"/>
      <c r="W41" s="68">
        <f t="shared" si="9"/>
        <v>0</v>
      </c>
      <c r="X41" s="68">
        <f t="shared" si="10"/>
        <v>0</v>
      </c>
      <c r="Y41" s="68">
        <f t="shared" si="11"/>
        <v>0</v>
      </c>
      <c r="Z41" s="68">
        <f t="shared" si="12"/>
        <v>0</v>
      </c>
      <c r="AA41" s="68"/>
      <c r="AB41" s="68">
        <v>0</v>
      </c>
      <c r="AC41" s="69">
        <f t="shared" si="8"/>
        <v>0</v>
      </c>
      <c r="AD41" s="70">
        <v>0</v>
      </c>
      <c r="AE41" s="63">
        <v>40377</v>
      </c>
      <c r="AF41" s="72"/>
      <c r="AG41" s="63" t="s">
        <v>938</v>
      </c>
      <c r="AH41" s="23" t="s">
        <v>939</v>
      </c>
      <c r="AI41" s="60"/>
      <c r="AJ41" s="133" t="s">
        <v>1608</v>
      </c>
      <c r="AK41" s="73" t="s">
        <v>2371</v>
      </c>
      <c r="AL41" s="3"/>
      <c r="AM41" s="4"/>
      <c r="AN41" s="5"/>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6"/>
      <c r="CO41" s="7"/>
      <c r="CP41" s="6"/>
      <c r="CQ41" s="7"/>
      <c r="CR41" s="6"/>
      <c r="CS41" s="7"/>
      <c r="CT41" s="8">
        <f t="shared" si="13"/>
        <v>0</v>
      </c>
      <c r="CU41" s="9"/>
      <c r="CV41" s="10"/>
      <c r="CW41" s="11"/>
      <c r="CX41" s="12"/>
      <c r="CY41" s="26"/>
      <c r="CZ41" s="12"/>
      <c r="DA41" s="9"/>
      <c r="DB41" s="10"/>
      <c r="DC41" s="64"/>
    </row>
    <row r="42" spans="1:107" ht="24" outlineLevel="2">
      <c r="A42" s="178">
        <v>40376</v>
      </c>
      <c r="B42" s="82" t="s">
        <v>1233</v>
      </c>
      <c r="C42" s="82" t="s">
        <v>868</v>
      </c>
      <c r="D42" s="165" t="s">
        <v>1262</v>
      </c>
      <c r="E42" s="167"/>
      <c r="F42" s="66"/>
      <c r="G42" s="66"/>
      <c r="H42" s="66">
        <v>50</v>
      </c>
      <c r="I42" s="66">
        <v>10</v>
      </c>
      <c r="J42" s="66"/>
      <c r="K42" s="66">
        <v>10</v>
      </c>
      <c r="L42" s="66"/>
      <c r="M42" s="66"/>
      <c r="N42" s="66"/>
      <c r="O42" s="66"/>
      <c r="P42" s="66"/>
      <c r="Q42" s="66"/>
      <c r="R42" s="66"/>
      <c r="S42" s="66"/>
      <c r="T42" s="67"/>
      <c r="U42" s="151"/>
      <c r="V42" s="1"/>
      <c r="W42" s="68">
        <f t="shared" si="9"/>
        <v>0</v>
      </c>
      <c r="X42" s="68">
        <f t="shared" si="10"/>
        <v>0</v>
      </c>
      <c r="Y42" s="68">
        <f t="shared" si="11"/>
        <v>0</v>
      </c>
      <c r="Z42" s="68">
        <f t="shared" si="12"/>
        <v>0</v>
      </c>
      <c r="AA42" s="68"/>
      <c r="AB42" s="68">
        <v>0</v>
      </c>
      <c r="AC42" s="69">
        <f t="shared" si="8"/>
        <v>0</v>
      </c>
      <c r="AD42" s="70">
        <v>0</v>
      </c>
      <c r="AE42" s="63">
        <v>40379</v>
      </c>
      <c r="AF42" s="72"/>
      <c r="AG42" s="63" t="s">
        <v>938</v>
      </c>
      <c r="AH42" s="23" t="s">
        <v>939</v>
      </c>
      <c r="AI42" s="60"/>
      <c r="AJ42" s="133" t="s">
        <v>1608</v>
      </c>
      <c r="AK42" s="73" t="s">
        <v>1062</v>
      </c>
      <c r="AL42" s="3"/>
      <c r="AM42" s="4"/>
      <c r="AN42" s="5"/>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6"/>
      <c r="CO42" s="7"/>
      <c r="CP42" s="6"/>
      <c r="CQ42" s="7"/>
      <c r="CR42" s="6"/>
      <c r="CS42" s="7"/>
      <c r="CT42" s="8">
        <f t="shared" si="13"/>
        <v>0</v>
      </c>
      <c r="CU42" s="9"/>
      <c r="CV42" s="10"/>
      <c r="CW42" s="11"/>
      <c r="CX42" s="12"/>
      <c r="CY42" s="26"/>
      <c r="CZ42" s="12"/>
      <c r="DA42" s="9"/>
      <c r="DB42" s="10"/>
      <c r="DC42" s="64"/>
    </row>
    <row r="43" spans="1:107" ht="24" outlineLevel="2">
      <c r="A43" s="178">
        <v>40376</v>
      </c>
      <c r="B43" s="82" t="s">
        <v>1233</v>
      </c>
      <c r="C43" s="82" t="s">
        <v>1140</v>
      </c>
      <c r="D43" s="165" t="s">
        <v>1262</v>
      </c>
      <c r="E43" s="167"/>
      <c r="F43" s="66"/>
      <c r="G43" s="66"/>
      <c r="H43" s="66">
        <v>35</v>
      </c>
      <c r="I43" s="66">
        <v>7</v>
      </c>
      <c r="J43" s="66"/>
      <c r="K43" s="66">
        <v>7</v>
      </c>
      <c r="L43" s="66"/>
      <c r="M43" s="66"/>
      <c r="N43" s="66"/>
      <c r="O43" s="66"/>
      <c r="P43" s="66"/>
      <c r="Q43" s="66"/>
      <c r="R43" s="66">
        <v>1</v>
      </c>
      <c r="S43" s="66"/>
      <c r="T43" s="67"/>
      <c r="U43" s="151"/>
      <c r="V43" s="1"/>
      <c r="W43" s="68">
        <f t="shared" si="9"/>
        <v>0</v>
      </c>
      <c r="X43" s="68">
        <f t="shared" si="10"/>
        <v>0</v>
      </c>
      <c r="Y43" s="68">
        <f t="shared" si="11"/>
        <v>0</v>
      </c>
      <c r="Z43" s="68">
        <f t="shared" si="12"/>
        <v>0</v>
      </c>
      <c r="AA43" s="68"/>
      <c r="AB43" s="68">
        <v>0</v>
      </c>
      <c r="AC43" s="69">
        <f t="shared" si="8"/>
        <v>0</v>
      </c>
      <c r="AD43" s="70">
        <v>0</v>
      </c>
      <c r="AE43" s="63">
        <v>40381</v>
      </c>
      <c r="AF43" s="72"/>
      <c r="AG43" s="63" t="s">
        <v>938</v>
      </c>
      <c r="AH43" s="23" t="s">
        <v>939</v>
      </c>
      <c r="AI43" s="60"/>
      <c r="AJ43" s="133" t="s">
        <v>1608</v>
      </c>
      <c r="AK43" s="73" t="s">
        <v>1141</v>
      </c>
      <c r="AL43" s="3"/>
      <c r="AM43" s="4"/>
      <c r="AN43" s="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6"/>
      <c r="CO43" s="7"/>
      <c r="CP43" s="6"/>
      <c r="CQ43" s="7"/>
      <c r="CR43" s="6"/>
      <c r="CS43" s="7"/>
      <c r="CT43" s="8">
        <f t="shared" si="13"/>
        <v>0</v>
      </c>
      <c r="CU43" s="9"/>
      <c r="CV43" s="10"/>
      <c r="CW43" s="11"/>
      <c r="CX43" s="12"/>
      <c r="CY43" s="26"/>
      <c r="CZ43" s="12"/>
      <c r="DA43" s="9"/>
      <c r="DB43" s="10"/>
      <c r="DC43" s="64"/>
    </row>
    <row r="44" spans="1:107" outlineLevel="2">
      <c r="A44" s="178">
        <v>40380</v>
      </c>
      <c r="B44" s="82" t="s">
        <v>1233</v>
      </c>
      <c r="C44" s="82" t="s">
        <v>1277</v>
      </c>
      <c r="D44" s="165" t="s">
        <v>1262</v>
      </c>
      <c r="E44" s="167"/>
      <c r="F44" s="66"/>
      <c r="G44" s="66"/>
      <c r="H44" s="66">
        <v>2500</v>
      </c>
      <c r="I44" s="66">
        <v>500</v>
      </c>
      <c r="J44" s="66"/>
      <c r="K44" s="66">
        <v>500</v>
      </c>
      <c r="L44" s="66"/>
      <c r="M44" s="66"/>
      <c r="N44" s="66"/>
      <c r="O44" s="66"/>
      <c r="P44" s="66"/>
      <c r="Q44" s="66"/>
      <c r="R44" s="66"/>
      <c r="S44" s="66"/>
      <c r="T44" s="67"/>
      <c r="U44" s="151"/>
      <c r="V44" s="1"/>
      <c r="W44" s="68">
        <f t="shared" si="9"/>
        <v>0</v>
      </c>
      <c r="X44" s="68">
        <f t="shared" si="10"/>
        <v>0</v>
      </c>
      <c r="Y44" s="68">
        <f t="shared" si="11"/>
        <v>0</v>
      </c>
      <c r="Z44" s="68">
        <f t="shared" si="12"/>
        <v>0</v>
      </c>
      <c r="AA44" s="68"/>
      <c r="AB44" s="68">
        <v>0</v>
      </c>
      <c r="AC44" s="69">
        <f t="shared" si="8"/>
        <v>0</v>
      </c>
      <c r="AD44" s="70">
        <v>0</v>
      </c>
      <c r="AE44" s="63">
        <v>40381</v>
      </c>
      <c r="AF44" s="72"/>
      <c r="AG44" s="63" t="s">
        <v>938</v>
      </c>
      <c r="AH44" s="23" t="s">
        <v>939</v>
      </c>
      <c r="AI44" s="60"/>
      <c r="AJ44" s="133" t="s">
        <v>1608</v>
      </c>
      <c r="AK44" s="73" t="s">
        <v>811</v>
      </c>
      <c r="AL44" s="3"/>
      <c r="AM44" s="4"/>
      <c r="AN44" s="5"/>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6"/>
      <c r="CO44" s="7"/>
      <c r="CP44" s="6"/>
      <c r="CQ44" s="7"/>
      <c r="CR44" s="6"/>
      <c r="CS44" s="7"/>
      <c r="CT44" s="8">
        <f t="shared" si="13"/>
        <v>0</v>
      </c>
      <c r="CU44" s="9"/>
      <c r="CV44" s="10"/>
      <c r="CW44" s="11"/>
      <c r="CX44" s="12"/>
      <c r="CY44" s="26"/>
      <c r="CZ44" s="12"/>
      <c r="DA44" s="9"/>
      <c r="DB44" s="10"/>
      <c r="DC44" s="64"/>
    </row>
    <row r="45" spans="1:107" ht="24" outlineLevel="2">
      <c r="A45" s="178">
        <v>40390</v>
      </c>
      <c r="B45" s="82" t="s">
        <v>1233</v>
      </c>
      <c r="C45" s="82" t="s">
        <v>241</v>
      </c>
      <c r="D45" s="165" t="s">
        <v>1262</v>
      </c>
      <c r="E45" s="167"/>
      <c r="F45" s="66"/>
      <c r="G45" s="66"/>
      <c r="H45" s="66">
        <v>400</v>
      </c>
      <c r="I45" s="66">
        <v>50</v>
      </c>
      <c r="J45" s="66"/>
      <c r="K45" s="66">
        <v>50</v>
      </c>
      <c r="L45" s="66"/>
      <c r="M45" s="66"/>
      <c r="N45" s="66"/>
      <c r="O45" s="66"/>
      <c r="P45" s="66"/>
      <c r="Q45" s="66"/>
      <c r="R45" s="66"/>
      <c r="S45" s="66"/>
      <c r="T45" s="67"/>
      <c r="U45" s="151"/>
      <c r="V45" s="1"/>
      <c r="W45" s="68">
        <f t="shared" si="9"/>
        <v>0</v>
      </c>
      <c r="X45" s="68">
        <f t="shared" si="10"/>
        <v>0</v>
      </c>
      <c r="Y45" s="68">
        <f t="shared" si="11"/>
        <v>0</v>
      </c>
      <c r="Z45" s="68">
        <f t="shared" si="12"/>
        <v>0</v>
      </c>
      <c r="AA45" s="68"/>
      <c r="AB45" s="68">
        <v>0</v>
      </c>
      <c r="AC45" s="69">
        <f t="shared" si="8"/>
        <v>0</v>
      </c>
      <c r="AD45" s="70">
        <v>0</v>
      </c>
      <c r="AE45" s="63">
        <v>40392</v>
      </c>
      <c r="AF45" s="72"/>
      <c r="AG45" s="63" t="s">
        <v>938</v>
      </c>
      <c r="AH45" s="23" t="s">
        <v>939</v>
      </c>
      <c r="AI45" s="60"/>
      <c r="AJ45" s="133" t="s">
        <v>1608</v>
      </c>
      <c r="AK45" s="73" t="s">
        <v>1991</v>
      </c>
      <c r="AL45" s="3"/>
      <c r="AM45" s="4"/>
      <c r="AN45" s="5"/>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6"/>
      <c r="CO45" s="7"/>
      <c r="CP45" s="6"/>
      <c r="CQ45" s="7"/>
      <c r="CR45" s="6"/>
      <c r="CS45" s="7"/>
      <c r="CT45" s="8">
        <f t="shared" si="13"/>
        <v>0</v>
      </c>
      <c r="CU45" s="9"/>
      <c r="CV45" s="10"/>
      <c r="CW45" s="11"/>
      <c r="CX45" s="12"/>
      <c r="CY45" s="26"/>
      <c r="CZ45" s="12"/>
      <c r="DA45" s="9"/>
      <c r="DB45" s="10"/>
      <c r="DC45" s="64"/>
    </row>
    <row r="46" spans="1:107" ht="24" outlineLevel="2">
      <c r="A46" s="178">
        <v>40390</v>
      </c>
      <c r="B46" s="82" t="s">
        <v>1233</v>
      </c>
      <c r="C46" s="82" t="s">
        <v>1978</v>
      </c>
      <c r="D46" s="165" t="s">
        <v>1262</v>
      </c>
      <c r="E46" s="167"/>
      <c r="F46" s="66"/>
      <c r="G46" s="66"/>
      <c r="H46" s="66">
        <v>25</v>
      </c>
      <c r="I46" s="66">
        <v>5</v>
      </c>
      <c r="J46" s="66"/>
      <c r="K46" s="66">
        <v>3</v>
      </c>
      <c r="L46" s="66"/>
      <c r="M46" s="66"/>
      <c r="N46" s="66"/>
      <c r="O46" s="66"/>
      <c r="P46" s="66"/>
      <c r="Q46" s="66"/>
      <c r="R46" s="66"/>
      <c r="S46" s="66"/>
      <c r="T46" s="67"/>
      <c r="U46" s="151"/>
      <c r="V46" s="1"/>
      <c r="W46" s="68">
        <f t="shared" si="9"/>
        <v>0</v>
      </c>
      <c r="X46" s="68">
        <f t="shared" si="10"/>
        <v>0</v>
      </c>
      <c r="Y46" s="68">
        <f t="shared" si="11"/>
        <v>0</v>
      </c>
      <c r="Z46" s="68">
        <f t="shared" si="12"/>
        <v>0</v>
      </c>
      <c r="AA46" s="68"/>
      <c r="AB46" s="68">
        <v>0</v>
      </c>
      <c r="AC46" s="69">
        <f t="shared" si="8"/>
        <v>0</v>
      </c>
      <c r="AD46" s="70">
        <v>0</v>
      </c>
      <c r="AE46" s="63">
        <v>40392</v>
      </c>
      <c r="AF46" s="72"/>
      <c r="AG46" s="63" t="s">
        <v>938</v>
      </c>
      <c r="AH46" s="23" t="s">
        <v>939</v>
      </c>
      <c r="AI46" s="60"/>
      <c r="AJ46" s="133" t="s">
        <v>1608</v>
      </c>
      <c r="AK46" s="73" t="s">
        <v>1979</v>
      </c>
      <c r="AL46" s="3"/>
      <c r="AM46" s="4"/>
      <c r="AN46" s="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6"/>
      <c r="CO46" s="7"/>
      <c r="CP46" s="6"/>
      <c r="CQ46" s="7"/>
      <c r="CR46" s="6"/>
      <c r="CS46" s="7"/>
      <c r="CT46" s="8">
        <f t="shared" si="13"/>
        <v>0</v>
      </c>
      <c r="CU46" s="9"/>
      <c r="CV46" s="10"/>
      <c r="CW46" s="11"/>
      <c r="CX46" s="12"/>
      <c r="CY46" s="26"/>
      <c r="CZ46" s="12"/>
      <c r="DA46" s="9"/>
      <c r="DB46" s="10"/>
      <c r="DC46" s="64"/>
    </row>
    <row r="47" spans="1:107" ht="36" outlineLevel="2">
      <c r="A47" s="178">
        <v>40391</v>
      </c>
      <c r="B47" s="82" t="s">
        <v>1233</v>
      </c>
      <c r="C47" s="82" t="s">
        <v>1980</v>
      </c>
      <c r="D47" s="165" t="s">
        <v>1262</v>
      </c>
      <c r="E47" s="167"/>
      <c r="F47" s="66"/>
      <c r="G47" s="66"/>
      <c r="H47" s="66">
        <v>300</v>
      </c>
      <c r="I47" s="66">
        <v>60</v>
      </c>
      <c r="J47" s="66"/>
      <c r="K47" s="66">
        <v>60</v>
      </c>
      <c r="L47" s="66"/>
      <c r="M47" s="66"/>
      <c r="N47" s="66"/>
      <c r="O47" s="66"/>
      <c r="P47" s="66"/>
      <c r="Q47" s="66"/>
      <c r="R47" s="66"/>
      <c r="S47" s="66"/>
      <c r="T47" s="67"/>
      <c r="U47" s="151"/>
      <c r="V47" s="1"/>
      <c r="W47" s="68">
        <f t="shared" si="9"/>
        <v>0</v>
      </c>
      <c r="X47" s="68">
        <f t="shared" si="10"/>
        <v>0</v>
      </c>
      <c r="Y47" s="68">
        <f t="shared" si="11"/>
        <v>0</v>
      </c>
      <c r="Z47" s="68">
        <f t="shared" si="12"/>
        <v>0</v>
      </c>
      <c r="AA47" s="68"/>
      <c r="AB47" s="68">
        <v>0</v>
      </c>
      <c r="AC47" s="69">
        <f t="shared" si="8"/>
        <v>0</v>
      </c>
      <c r="AD47" s="70">
        <v>0</v>
      </c>
      <c r="AE47" s="63">
        <v>40392</v>
      </c>
      <c r="AF47" s="72"/>
      <c r="AG47" s="63" t="s">
        <v>938</v>
      </c>
      <c r="AH47" s="23" t="s">
        <v>939</v>
      </c>
      <c r="AI47" s="60"/>
      <c r="AJ47" s="133" t="s">
        <v>1608</v>
      </c>
      <c r="AK47" s="73" t="s">
        <v>1981</v>
      </c>
      <c r="AL47" s="3"/>
      <c r="AM47" s="4"/>
      <c r="AN47" s="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6"/>
      <c r="CO47" s="7"/>
      <c r="CP47" s="6"/>
      <c r="CQ47" s="7"/>
      <c r="CR47" s="6"/>
      <c r="CS47" s="7"/>
      <c r="CT47" s="8">
        <f t="shared" si="13"/>
        <v>0</v>
      </c>
      <c r="CU47" s="9"/>
      <c r="CV47" s="10"/>
      <c r="CW47" s="11"/>
      <c r="CX47" s="12"/>
      <c r="CY47" s="26"/>
      <c r="CZ47" s="12"/>
      <c r="DA47" s="9"/>
      <c r="DB47" s="10"/>
      <c r="DC47" s="64"/>
    </row>
    <row r="48" spans="1:107" outlineLevel="2">
      <c r="A48" s="178">
        <v>40400</v>
      </c>
      <c r="B48" s="82" t="s">
        <v>1233</v>
      </c>
      <c r="C48" s="82" t="s">
        <v>1470</v>
      </c>
      <c r="D48" s="165" t="s">
        <v>435</v>
      </c>
      <c r="E48" s="167"/>
      <c r="F48" s="66"/>
      <c r="G48" s="66"/>
      <c r="H48" s="66">
        <v>250</v>
      </c>
      <c r="I48" s="66">
        <v>50</v>
      </c>
      <c r="J48" s="66"/>
      <c r="K48" s="66">
        <v>50</v>
      </c>
      <c r="L48" s="66"/>
      <c r="M48" s="66"/>
      <c r="N48" s="66">
        <v>1</v>
      </c>
      <c r="O48" s="66"/>
      <c r="P48" s="66"/>
      <c r="Q48" s="66"/>
      <c r="R48" s="66">
        <v>4</v>
      </c>
      <c r="S48" s="66"/>
      <c r="T48" s="67"/>
      <c r="U48" s="151" t="s">
        <v>2052</v>
      </c>
      <c r="V48" s="1"/>
      <c r="W48" s="68">
        <f t="shared" si="9"/>
        <v>0</v>
      </c>
      <c r="X48" s="68">
        <f t="shared" si="10"/>
        <v>0</v>
      </c>
      <c r="Y48" s="68">
        <f t="shared" si="11"/>
        <v>0</v>
      </c>
      <c r="Z48" s="68">
        <f t="shared" si="12"/>
        <v>0</v>
      </c>
      <c r="AA48" s="68"/>
      <c r="AB48" s="68">
        <v>0</v>
      </c>
      <c r="AC48" s="69">
        <f t="shared" si="8"/>
        <v>0</v>
      </c>
      <c r="AD48" s="70">
        <v>0</v>
      </c>
      <c r="AE48" s="63">
        <v>40403</v>
      </c>
      <c r="AF48" s="72"/>
      <c r="AG48" s="63" t="s">
        <v>938</v>
      </c>
      <c r="AH48" s="23" t="s">
        <v>939</v>
      </c>
      <c r="AI48" s="60"/>
      <c r="AJ48" s="133" t="s">
        <v>1608</v>
      </c>
      <c r="AK48" s="73" t="s">
        <v>2053</v>
      </c>
      <c r="AL48" s="3"/>
      <c r="AM48" s="4"/>
      <c r="AN48" s="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6"/>
      <c r="CO48" s="7"/>
      <c r="CP48" s="6"/>
      <c r="CQ48" s="7"/>
      <c r="CR48" s="6"/>
      <c r="CS48" s="7"/>
      <c r="CT48" s="8">
        <f t="shared" si="13"/>
        <v>0</v>
      </c>
      <c r="CU48" s="9"/>
      <c r="CV48" s="10"/>
      <c r="CW48" s="11"/>
      <c r="CX48" s="12"/>
      <c r="CY48" s="26"/>
      <c r="CZ48" s="12"/>
      <c r="DA48" s="9"/>
      <c r="DB48" s="10"/>
      <c r="DC48" s="64"/>
    </row>
    <row r="49" spans="1:108" outlineLevel="2">
      <c r="A49" s="178">
        <v>40401</v>
      </c>
      <c r="B49" s="82" t="s">
        <v>1233</v>
      </c>
      <c r="C49" s="82" t="s">
        <v>1894</v>
      </c>
      <c r="D49" s="165" t="s">
        <v>1182</v>
      </c>
      <c r="E49" s="167">
        <v>1</v>
      </c>
      <c r="F49" s="66"/>
      <c r="G49" s="66"/>
      <c r="H49" s="66">
        <v>5</v>
      </c>
      <c r="I49" s="66">
        <v>1</v>
      </c>
      <c r="J49" s="66">
        <v>1</v>
      </c>
      <c r="K49" s="66"/>
      <c r="L49" s="66"/>
      <c r="M49" s="66"/>
      <c r="N49" s="66"/>
      <c r="O49" s="66"/>
      <c r="P49" s="66"/>
      <c r="Q49" s="66"/>
      <c r="R49" s="66"/>
      <c r="S49" s="66"/>
      <c r="T49" s="67"/>
      <c r="U49" s="151"/>
      <c r="V49" s="1"/>
      <c r="W49" s="68">
        <f t="shared" si="9"/>
        <v>0</v>
      </c>
      <c r="X49" s="68">
        <f t="shared" si="10"/>
        <v>0</v>
      </c>
      <c r="Y49" s="68">
        <f t="shared" si="11"/>
        <v>0</v>
      </c>
      <c r="Z49" s="68">
        <f t="shared" si="12"/>
        <v>0</v>
      </c>
      <c r="AA49" s="68"/>
      <c r="AB49" s="68">
        <v>0</v>
      </c>
      <c r="AC49" s="69">
        <f t="shared" si="8"/>
        <v>0</v>
      </c>
      <c r="AD49" s="70">
        <v>0</v>
      </c>
      <c r="AE49" s="63">
        <v>40403</v>
      </c>
      <c r="AF49" s="72"/>
      <c r="AG49" s="63" t="s">
        <v>938</v>
      </c>
      <c r="AH49" s="23" t="s">
        <v>939</v>
      </c>
      <c r="AI49" s="60"/>
      <c r="AJ49" s="133" t="s">
        <v>1608</v>
      </c>
      <c r="AK49" s="73" t="s">
        <v>1612</v>
      </c>
      <c r="AL49" s="3"/>
      <c r="AM49" s="4"/>
      <c r="AN49" s="5"/>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6"/>
      <c r="CO49" s="7"/>
      <c r="CP49" s="6"/>
      <c r="CQ49" s="7"/>
      <c r="CR49" s="6"/>
      <c r="CS49" s="7"/>
      <c r="CT49" s="8">
        <f t="shared" si="13"/>
        <v>0</v>
      </c>
      <c r="CU49" s="9"/>
      <c r="CV49" s="10"/>
      <c r="CW49" s="11"/>
      <c r="CX49" s="12"/>
      <c r="CY49" s="26"/>
      <c r="CZ49" s="12"/>
      <c r="DA49" s="9"/>
      <c r="DB49" s="10"/>
      <c r="DC49" s="64"/>
    </row>
    <row r="50" spans="1:108" outlineLevel="2">
      <c r="A50" s="178">
        <v>40401</v>
      </c>
      <c r="B50" s="82" t="s">
        <v>1233</v>
      </c>
      <c r="C50" s="82" t="s">
        <v>2050</v>
      </c>
      <c r="D50" s="165" t="s">
        <v>1262</v>
      </c>
      <c r="E50" s="167"/>
      <c r="F50" s="66"/>
      <c r="G50" s="66"/>
      <c r="H50" s="66">
        <v>490</v>
      </c>
      <c r="I50" s="66">
        <v>70</v>
      </c>
      <c r="J50" s="66"/>
      <c r="K50" s="66">
        <v>70</v>
      </c>
      <c r="L50" s="66"/>
      <c r="M50" s="66"/>
      <c r="N50" s="66"/>
      <c r="O50" s="66"/>
      <c r="P50" s="66"/>
      <c r="Q50" s="66"/>
      <c r="R50" s="66"/>
      <c r="S50" s="66"/>
      <c r="T50" s="67"/>
      <c r="U50" s="151"/>
      <c r="V50" s="1"/>
      <c r="W50" s="68">
        <f t="shared" si="9"/>
        <v>0</v>
      </c>
      <c r="X50" s="68">
        <f t="shared" si="10"/>
        <v>0</v>
      </c>
      <c r="Y50" s="68">
        <f t="shared" si="11"/>
        <v>0</v>
      </c>
      <c r="Z50" s="68">
        <f t="shared" si="12"/>
        <v>0</v>
      </c>
      <c r="AA50" s="68"/>
      <c r="AB50" s="68">
        <v>0</v>
      </c>
      <c r="AC50" s="69">
        <f t="shared" si="8"/>
        <v>0</v>
      </c>
      <c r="AD50" s="70">
        <v>0</v>
      </c>
      <c r="AE50" s="63">
        <v>40403</v>
      </c>
      <c r="AF50" s="72"/>
      <c r="AG50" s="63" t="s">
        <v>938</v>
      </c>
      <c r="AH50" s="23" t="s">
        <v>939</v>
      </c>
      <c r="AI50" s="60"/>
      <c r="AJ50" s="133" t="s">
        <v>1608</v>
      </c>
      <c r="AK50" s="73" t="s">
        <v>2051</v>
      </c>
      <c r="AL50" s="3"/>
      <c r="AM50" s="4"/>
      <c r="AN50" s="5"/>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6"/>
      <c r="CO50" s="7"/>
      <c r="CP50" s="6"/>
      <c r="CQ50" s="7"/>
      <c r="CR50" s="6"/>
      <c r="CS50" s="7"/>
      <c r="CT50" s="8">
        <f t="shared" si="13"/>
        <v>0</v>
      </c>
      <c r="CU50" s="9"/>
      <c r="CV50" s="10"/>
      <c r="CW50" s="11"/>
      <c r="CX50" s="12"/>
      <c r="CY50" s="26"/>
      <c r="CZ50" s="12"/>
      <c r="DA50" s="9"/>
      <c r="DB50" s="10"/>
      <c r="DC50" s="64"/>
    </row>
    <row r="51" spans="1:108" ht="24" outlineLevel="2">
      <c r="A51" s="178">
        <v>40403</v>
      </c>
      <c r="B51" s="82" t="s">
        <v>1233</v>
      </c>
      <c r="C51" s="82" t="s">
        <v>1857</v>
      </c>
      <c r="D51" s="165" t="s">
        <v>1182</v>
      </c>
      <c r="E51" s="168">
        <v>2</v>
      </c>
      <c r="F51" s="66"/>
      <c r="G51" s="66"/>
      <c r="H51" s="66"/>
      <c r="I51" s="66"/>
      <c r="J51" s="66"/>
      <c r="K51" s="66"/>
      <c r="L51" s="66"/>
      <c r="M51" s="66"/>
      <c r="N51" s="66"/>
      <c r="O51" s="66"/>
      <c r="P51" s="66"/>
      <c r="Q51" s="66"/>
      <c r="R51" s="66"/>
      <c r="S51" s="66"/>
      <c r="T51" s="67"/>
      <c r="U51" s="151"/>
      <c r="V51" s="1"/>
      <c r="W51" s="68">
        <f t="shared" si="9"/>
        <v>0</v>
      </c>
      <c r="X51" s="68">
        <f t="shared" si="10"/>
        <v>0</v>
      </c>
      <c r="Y51" s="68">
        <f t="shared" si="11"/>
        <v>0</v>
      </c>
      <c r="Z51" s="68">
        <f t="shared" si="12"/>
        <v>0</v>
      </c>
      <c r="AA51" s="68"/>
      <c r="AB51" s="68">
        <v>0</v>
      </c>
      <c r="AC51" s="69">
        <f t="shared" si="8"/>
        <v>0</v>
      </c>
      <c r="AD51" s="70">
        <v>0</v>
      </c>
      <c r="AE51" s="63">
        <v>40407</v>
      </c>
      <c r="AF51" s="72"/>
      <c r="AG51" s="63" t="s">
        <v>938</v>
      </c>
      <c r="AH51" s="23" t="s">
        <v>939</v>
      </c>
      <c r="AI51" s="60"/>
      <c r="AJ51" s="133" t="s">
        <v>1608</v>
      </c>
      <c r="AK51" s="73" t="s">
        <v>2067</v>
      </c>
      <c r="AL51" s="3"/>
      <c r="AM51" s="4"/>
      <c r="AN51" s="5"/>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6"/>
      <c r="CO51" s="7"/>
      <c r="CP51" s="6"/>
      <c r="CQ51" s="7"/>
      <c r="CR51" s="6"/>
      <c r="CS51" s="7"/>
      <c r="CT51" s="8">
        <f t="shared" si="13"/>
        <v>0</v>
      </c>
      <c r="CU51" s="9"/>
      <c r="CV51" s="10"/>
      <c r="CW51" s="11"/>
      <c r="CX51" s="12"/>
      <c r="CY51" s="26"/>
      <c r="CZ51" s="12"/>
      <c r="DA51" s="9"/>
      <c r="DB51" s="10"/>
      <c r="DC51" s="64"/>
    </row>
    <row r="52" spans="1:108" ht="24" outlineLevel="2">
      <c r="A52" s="178">
        <v>40413</v>
      </c>
      <c r="B52" s="174" t="s">
        <v>1233</v>
      </c>
      <c r="C52" s="174" t="s">
        <v>240</v>
      </c>
      <c r="D52" s="165" t="s">
        <v>1182</v>
      </c>
      <c r="E52" s="163"/>
      <c r="F52" s="105"/>
      <c r="G52" s="105">
        <v>2</v>
      </c>
      <c r="H52" s="105"/>
      <c r="I52" s="105"/>
      <c r="J52" s="105"/>
      <c r="K52" s="105"/>
      <c r="L52" s="105">
        <v>1</v>
      </c>
      <c r="M52" s="105"/>
      <c r="N52" s="105"/>
      <c r="O52" s="105"/>
      <c r="P52" s="105"/>
      <c r="Q52" s="105"/>
      <c r="R52" s="105"/>
      <c r="S52" s="105"/>
      <c r="T52" s="106"/>
      <c r="U52" s="130"/>
      <c r="V52" s="1"/>
      <c r="W52" s="68">
        <f t="shared" si="9"/>
        <v>0</v>
      </c>
      <c r="X52" s="68">
        <f t="shared" si="10"/>
        <v>0</v>
      </c>
      <c r="Y52" s="68">
        <f t="shared" si="11"/>
        <v>0</v>
      </c>
      <c r="Z52" s="68">
        <f t="shared" si="12"/>
        <v>0</v>
      </c>
      <c r="AA52" s="68"/>
      <c r="AB52" s="68">
        <v>0</v>
      </c>
      <c r="AC52" s="69">
        <f t="shared" si="8"/>
        <v>0</v>
      </c>
      <c r="AD52" s="70">
        <v>0</v>
      </c>
      <c r="AE52" s="63">
        <v>40413</v>
      </c>
      <c r="AF52" s="72"/>
      <c r="AG52" s="63" t="s">
        <v>938</v>
      </c>
      <c r="AH52" s="23" t="s">
        <v>939</v>
      </c>
      <c r="AI52" s="60"/>
      <c r="AJ52" s="124" t="s">
        <v>1608</v>
      </c>
      <c r="AK52" s="121" t="s">
        <v>2107</v>
      </c>
      <c r="AL52" s="107"/>
      <c r="AM52" s="108"/>
      <c r="AN52" s="109"/>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10"/>
      <c r="CO52" s="111"/>
      <c r="CP52" s="110"/>
      <c r="CQ52" s="111"/>
      <c r="CR52" s="110"/>
      <c r="CS52" s="111"/>
      <c r="CT52" s="112">
        <f t="shared" si="13"/>
        <v>0</v>
      </c>
      <c r="CU52" s="113"/>
      <c r="CV52" s="114"/>
      <c r="CW52" s="115"/>
      <c r="CX52" s="116"/>
      <c r="CY52" s="117"/>
      <c r="CZ52" s="116"/>
      <c r="DA52" s="113"/>
      <c r="DB52" s="114"/>
      <c r="DC52" s="64"/>
      <c r="DD52" s="118"/>
    </row>
    <row r="53" spans="1:108" ht="36" outlineLevel="2">
      <c r="A53" s="178">
        <v>40425</v>
      </c>
      <c r="B53" s="174" t="s">
        <v>1233</v>
      </c>
      <c r="C53" s="174" t="s">
        <v>1859</v>
      </c>
      <c r="D53" s="179" t="s">
        <v>1262</v>
      </c>
      <c r="E53" s="163"/>
      <c r="F53" s="105"/>
      <c r="G53" s="105"/>
      <c r="H53" s="105">
        <v>90</v>
      </c>
      <c r="I53" s="105">
        <v>18</v>
      </c>
      <c r="J53" s="105"/>
      <c r="K53" s="105">
        <v>18</v>
      </c>
      <c r="L53" s="105"/>
      <c r="M53" s="105"/>
      <c r="N53" s="105"/>
      <c r="O53" s="105"/>
      <c r="P53" s="105"/>
      <c r="Q53" s="105"/>
      <c r="R53" s="105"/>
      <c r="S53" s="105"/>
      <c r="T53" s="106"/>
      <c r="U53" s="130"/>
      <c r="V53" s="1"/>
      <c r="W53" s="68">
        <f t="shared" si="9"/>
        <v>0</v>
      </c>
      <c r="X53" s="68">
        <f t="shared" si="10"/>
        <v>0</v>
      </c>
      <c r="Y53" s="68">
        <f t="shared" si="11"/>
        <v>0</v>
      </c>
      <c r="Z53" s="68">
        <f t="shared" si="12"/>
        <v>0</v>
      </c>
      <c r="AA53" s="68"/>
      <c r="AB53" s="68">
        <v>0</v>
      </c>
      <c r="AC53" s="69">
        <f t="shared" si="8"/>
        <v>0</v>
      </c>
      <c r="AD53" s="70">
        <v>0</v>
      </c>
      <c r="AE53" s="63">
        <v>40428</v>
      </c>
      <c r="AF53" s="72"/>
      <c r="AG53" s="63" t="s">
        <v>938</v>
      </c>
      <c r="AH53" s="23" t="s">
        <v>939</v>
      </c>
      <c r="AI53" s="60"/>
      <c r="AJ53" s="124" t="s">
        <v>1608</v>
      </c>
      <c r="AK53" s="121" t="s">
        <v>1734</v>
      </c>
      <c r="AL53" s="107"/>
      <c r="AM53" s="108"/>
      <c r="AN53" s="109"/>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10"/>
      <c r="CO53" s="111"/>
      <c r="CP53" s="110"/>
      <c r="CQ53" s="111"/>
      <c r="CR53" s="110"/>
      <c r="CS53" s="111"/>
      <c r="CT53" s="112">
        <f t="shared" si="13"/>
        <v>0</v>
      </c>
      <c r="CU53" s="113"/>
      <c r="CV53" s="114"/>
      <c r="CW53" s="115"/>
      <c r="CX53" s="116"/>
      <c r="CY53" s="117"/>
      <c r="CZ53" s="116"/>
      <c r="DA53" s="113"/>
      <c r="DB53" s="114"/>
      <c r="DC53" s="64"/>
      <c r="DD53" s="118"/>
    </row>
    <row r="54" spans="1:108" ht="24" outlineLevel="2">
      <c r="A54" s="178">
        <v>40426</v>
      </c>
      <c r="B54" s="174" t="s">
        <v>1233</v>
      </c>
      <c r="C54" s="174" t="s">
        <v>1066</v>
      </c>
      <c r="D54" s="179" t="s">
        <v>435</v>
      </c>
      <c r="E54" s="163"/>
      <c r="F54" s="105"/>
      <c r="G54" s="105"/>
      <c r="H54" s="105">
        <v>50</v>
      </c>
      <c r="I54" s="105">
        <v>10</v>
      </c>
      <c r="J54" s="105"/>
      <c r="K54" s="105">
        <v>10</v>
      </c>
      <c r="L54" s="105"/>
      <c r="M54" s="105"/>
      <c r="N54" s="105"/>
      <c r="O54" s="105"/>
      <c r="P54" s="105"/>
      <c r="Q54" s="105"/>
      <c r="R54" s="105">
        <v>2</v>
      </c>
      <c r="S54" s="105"/>
      <c r="T54" s="106"/>
      <c r="U54" s="130"/>
      <c r="V54" s="1"/>
      <c r="W54" s="68">
        <f t="shared" si="9"/>
        <v>0</v>
      </c>
      <c r="X54" s="68">
        <f t="shared" si="10"/>
        <v>0</v>
      </c>
      <c r="Y54" s="68">
        <f t="shared" si="11"/>
        <v>0</v>
      </c>
      <c r="Z54" s="68">
        <f t="shared" si="12"/>
        <v>0</v>
      </c>
      <c r="AA54" s="68"/>
      <c r="AB54" s="68">
        <v>0</v>
      </c>
      <c r="AC54" s="69">
        <f t="shared" si="8"/>
        <v>0</v>
      </c>
      <c r="AD54" s="70">
        <v>0</v>
      </c>
      <c r="AE54" s="63">
        <v>40428</v>
      </c>
      <c r="AF54" s="72"/>
      <c r="AG54" s="63" t="s">
        <v>938</v>
      </c>
      <c r="AH54" s="23" t="s">
        <v>939</v>
      </c>
      <c r="AI54" s="60"/>
      <c r="AJ54" s="124" t="s">
        <v>1608</v>
      </c>
      <c r="AK54" s="121" t="s">
        <v>1740</v>
      </c>
      <c r="AL54" s="107"/>
      <c r="AM54" s="108"/>
      <c r="AN54" s="109"/>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10"/>
      <c r="CO54" s="111"/>
      <c r="CP54" s="110"/>
      <c r="CQ54" s="111"/>
      <c r="CR54" s="110"/>
      <c r="CS54" s="111"/>
      <c r="CT54" s="112">
        <f t="shared" si="13"/>
        <v>0</v>
      </c>
      <c r="CU54" s="113"/>
      <c r="CV54" s="114"/>
      <c r="CW54" s="115"/>
      <c r="CX54" s="116"/>
      <c r="CY54" s="117"/>
      <c r="CZ54" s="116"/>
      <c r="DA54" s="113"/>
      <c r="DB54" s="114"/>
      <c r="DC54" s="64"/>
      <c r="DD54" s="118"/>
    </row>
    <row r="55" spans="1:108" outlineLevel="2">
      <c r="A55" s="178">
        <v>40428</v>
      </c>
      <c r="B55" s="174" t="s">
        <v>1233</v>
      </c>
      <c r="C55" s="174" t="s">
        <v>868</v>
      </c>
      <c r="D55" s="165" t="s">
        <v>1182</v>
      </c>
      <c r="E55" s="163"/>
      <c r="F55" s="105"/>
      <c r="G55" s="105"/>
      <c r="H55" s="105">
        <v>15</v>
      </c>
      <c r="I55" s="105">
        <v>3</v>
      </c>
      <c r="J55" s="105">
        <v>1</v>
      </c>
      <c r="K55" s="105">
        <v>2</v>
      </c>
      <c r="L55" s="105"/>
      <c r="M55" s="105"/>
      <c r="N55" s="105"/>
      <c r="O55" s="105"/>
      <c r="P55" s="105"/>
      <c r="Q55" s="105"/>
      <c r="R55" s="105"/>
      <c r="S55" s="105"/>
      <c r="T55" s="106"/>
      <c r="U55" s="130"/>
      <c r="V55" s="1"/>
      <c r="W55" s="68">
        <f t="shared" si="9"/>
        <v>0</v>
      </c>
      <c r="X55" s="68">
        <f t="shared" si="10"/>
        <v>0</v>
      </c>
      <c r="Y55" s="68">
        <f t="shared" si="11"/>
        <v>0</v>
      </c>
      <c r="Z55" s="68">
        <f t="shared" si="12"/>
        <v>0</v>
      </c>
      <c r="AA55" s="68"/>
      <c r="AB55" s="68">
        <v>0</v>
      </c>
      <c r="AC55" s="69">
        <f t="shared" ref="AC55:AC86" si="14">W55+X55+Y55+Z55+AA55+AB55</f>
        <v>0</v>
      </c>
      <c r="AD55" s="70">
        <v>0</v>
      </c>
      <c r="AE55" s="63">
        <v>40429</v>
      </c>
      <c r="AF55" s="72"/>
      <c r="AG55" s="63" t="s">
        <v>938</v>
      </c>
      <c r="AH55" s="23" t="s">
        <v>939</v>
      </c>
      <c r="AI55" s="60"/>
      <c r="AJ55" s="124" t="s">
        <v>1608</v>
      </c>
      <c r="AK55" s="121" t="s">
        <v>1752</v>
      </c>
      <c r="AL55" s="107"/>
      <c r="AM55" s="108"/>
      <c r="AN55" s="109"/>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10"/>
      <c r="CO55" s="111"/>
      <c r="CP55" s="110"/>
      <c r="CQ55" s="111"/>
      <c r="CR55" s="110"/>
      <c r="CS55" s="111"/>
      <c r="CT55" s="112">
        <f t="shared" si="13"/>
        <v>0</v>
      </c>
      <c r="CU55" s="113"/>
      <c r="CV55" s="114"/>
      <c r="CW55" s="115"/>
      <c r="CX55" s="116"/>
      <c r="CY55" s="117"/>
      <c r="CZ55" s="116"/>
      <c r="DA55" s="113"/>
      <c r="DB55" s="114"/>
      <c r="DC55" s="64"/>
      <c r="DD55" s="118"/>
    </row>
    <row r="56" spans="1:108" ht="24.75" outlineLevel="2">
      <c r="A56" s="178">
        <v>40429</v>
      </c>
      <c r="B56" s="174" t="s">
        <v>1233</v>
      </c>
      <c r="C56" s="164" t="s">
        <v>445</v>
      </c>
      <c r="D56" s="179" t="s">
        <v>435</v>
      </c>
      <c r="E56" s="163"/>
      <c r="F56" s="105"/>
      <c r="G56" s="105"/>
      <c r="H56" s="105">
        <v>75</v>
      </c>
      <c r="I56" s="105">
        <v>15</v>
      </c>
      <c r="J56" s="105"/>
      <c r="K56" s="105">
        <v>15</v>
      </c>
      <c r="L56" s="105"/>
      <c r="M56" s="105"/>
      <c r="N56" s="105"/>
      <c r="O56" s="105"/>
      <c r="P56" s="105"/>
      <c r="Q56" s="105"/>
      <c r="R56" s="105"/>
      <c r="S56" s="105"/>
      <c r="T56" s="106"/>
      <c r="U56" s="130" t="s">
        <v>446</v>
      </c>
      <c r="V56" s="1"/>
      <c r="W56" s="68">
        <f t="shared" si="9"/>
        <v>0</v>
      </c>
      <c r="X56" s="68">
        <f t="shared" si="10"/>
        <v>0</v>
      </c>
      <c r="Y56" s="68">
        <f t="shared" si="11"/>
        <v>0</v>
      </c>
      <c r="Z56" s="68">
        <f t="shared" si="12"/>
        <v>0</v>
      </c>
      <c r="AA56" s="68"/>
      <c r="AB56" s="68">
        <v>0</v>
      </c>
      <c r="AC56" s="69">
        <f t="shared" si="14"/>
        <v>0</v>
      </c>
      <c r="AD56" s="70">
        <v>0</v>
      </c>
      <c r="AE56" s="63">
        <v>40435</v>
      </c>
      <c r="AF56" s="72"/>
      <c r="AG56" s="63" t="s">
        <v>938</v>
      </c>
      <c r="AH56" s="23" t="s">
        <v>939</v>
      </c>
      <c r="AI56" s="60"/>
      <c r="AJ56" s="124" t="s">
        <v>1608</v>
      </c>
      <c r="AK56" s="121" t="s">
        <v>1612</v>
      </c>
      <c r="AL56" s="107"/>
      <c r="AM56" s="108"/>
      <c r="AN56" s="109"/>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10"/>
      <c r="CO56" s="111"/>
      <c r="CP56" s="110"/>
      <c r="CQ56" s="111"/>
      <c r="CR56" s="110"/>
      <c r="CS56" s="111"/>
      <c r="CT56" s="112">
        <f t="shared" si="13"/>
        <v>0</v>
      </c>
      <c r="CU56" s="113"/>
      <c r="CV56" s="114"/>
      <c r="CW56" s="115"/>
      <c r="CX56" s="116"/>
      <c r="CY56" s="117"/>
      <c r="CZ56" s="116"/>
      <c r="DA56" s="113"/>
      <c r="DB56" s="114"/>
      <c r="DC56" s="64"/>
      <c r="DD56" s="118"/>
    </row>
    <row r="57" spans="1:108" ht="60" outlineLevel="2">
      <c r="A57" s="178">
        <v>40429</v>
      </c>
      <c r="B57" s="174" t="s">
        <v>1233</v>
      </c>
      <c r="C57" s="174" t="s">
        <v>240</v>
      </c>
      <c r="D57" s="165" t="s">
        <v>1182</v>
      </c>
      <c r="E57" s="163"/>
      <c r="F57" s="105"/>
      <c r="G57" s="105"/>
      <c r="H57" s="105">
        <v>500</v>
      </c>
      <c r="I57" s="105">
        <v>100</v>
      </c>
      <c r="J57" s="105"/>
      <c r="K57" s="105">
        <v>100</v>
      </c>
      <c r="L57" s="105"/>
      <c r="M57" s="105"/>
      <c r="N57" s="105"/>
      <c r="O57" s="105"/>
      <c r="P57" s="105"/>
      <c r="Q57" s="105"/>
      <c r="R57" s="105">
        <v>1</v>
      </c>
      <c r="S57" s="105"/>
      <c r="T57" s="106"/>
      <c r="U57" s="130"/>
      <c r="V57" s="1">
        <v>40506</v>
      </c>
      <c r="W57" s="68">
        <f t="shared" si="9"/>
        <v>34607200</v>
      </c>
      <c r="X57" s="68">
        <f t="shared" si="10"/>
        <v>13600000</v>
      </c>
      <c r="Y57" s="68">
        <f t="shared" si="11"/>
        <v>0</v>
      </c>
      <c r="Z57" s="68">
        <f t="shared" si="12"/>
        <v>7600000</v>
      </c>
      <c r="AA57" s="68"/>
      <c r="AB57" s="68">
        <v>0</v>
      </c>
      <c r="AC57" s="69">
        <f t="shared" si="14"/>
        <v>55807200</v>
      </c>
      <c r="AD57" s="70">
        <v>0</v>
      </c>
      <c r="AE57" s="63">
        <v>40429</v>
      </c>
      <c r="AF57" s="72">
        <v>50860</v>
      </c>
      <c r="AG57" s="63" t="s">
        <v>954</v>
      </c>
      <c r="AH57" s="23" t="s">
        <v>955</v>
      </c>
      <c r="AI57" s="60">
        <v>24960</v>
      </c>
      <c r="AJ57" s="133" t="s">
        <v>415</v>
      </c>
      <c r="AK57" s="121" t="s">
        <v>1342</v>
      </c>
      <c r="AL57" s="107"/>
      <c r="AM57" s="108"/>
      <c r="AN57" s="109"/>
      <c r="AO57" s="108"/>
      <c r="AP57" s="108"/>
      <c r="AQ57" s="108"/>
      <c r="AR57" s="108"/>
      <c r="AS57" s="108"/>
      <c r="AT57" s="108">
        <v>160</v>
      </c>
      <c r="AU57" s="108">
        <f>160*21000</f>
        <v>3360000</v>
      </c>
      <c r="AV57" s="108">
        <v>160</v>
      </c>
      <c r="AW57" s="108">
        <f>160*6500</f>
        <v>1040000</v>
      </c>
      <c r="AX57" s="108">
        <v>160</v>
      </c>
      <c r="AY57" s="108">
        <f>160*56000</f>
        <v>8960000</v>
      </c>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v>10</v>
      </c>
      <c r="BY57" s="108">
        <f>10*504000</f>
        <v>5040000</v>
      </c>
      <c r="BZ57" s="108"/>
      <c r="CA57" s="108"/>
      <c r="CB57" s="108"/>
      <c r="CC57" s="108"/>
      <c r="CD57" s="108"/>
      <c r="CE57" s="108"/>
      <c r="CF57" s="108">
        <v>160</v>
      </c>
      <c r="CG57" s="108">
        <f>160*25000</f>
        <v>4000000</v>
      </c>
      <c r="CH57" s="108"/>
      <c r="CI57" s="108"/>
      <c r="CJ57" s="108"/>
      <c r="CK57" s="108"/>
      <c r="CL57" s="108"/>
      <c r="CM57" s="108"/>
      <c r="CN57" s="110">
        <v>160</v>
      </c>
      <c r="CO57" s="111">
        <f>160*36595</f>
        <v>5855200</v>
      </c>
      <c r="CP57" s="110">
        <v>160</v>
      </c>
      <c r="CQ57" s="111">
        <f>160*39700</f>
        <v>6352000</v>
      </c>
      <c r="CR57" s="110"/>
      <c r="CS57" s="111"/>
      <c r="CT57" s="112">
        <f t="shared" si="13"/>
        <v>34607200</v>
      </c>
      <c r="CU57" s="113">
        <v>8000</v>
      </c>
      <c r="CV57" s="114">
        <f>8000*950</f>
        <v>7600000</v>
      </c>
      <c r="CW57" s="115">
        <v>160</v>
      </c>
      <c r="CX57" s="116">
        <f>160*85000</f>
        <v>13600000</v>
      </c>
      <c r="CY57" s="117"/>
      <c r="CZ57" s="116"/>
      <c r="DA57" s="113"/>
      <c r="DB57" s="114"/>
      <c r="DC57" s="64"/>
      <c r="DD57" s="118"/>
    </row>
    <row r="58" spans="1:108" ht="24" outlineLevel="2">
      <c r="A58" s="178">
        <v>40434</v>
      </c>
      <c r="B58" s="174" t="s">
        <v>1233</v>
      </c>
      <c r="C58" s="164" t="s">
        <v>1108</v>
      </c>
      <c r="D58" s="165" t="s">
        <v>1182</v>
      </c>
      <c r="E58" s="163"/>
      <c r="F58" s="105"/>
      <c r="G58" s="105"/>
      <c r="H58" s="105">
        <v>110</v>
      </c>
      <c r="I58" s="105">
        <v>20</v>
      </c>
      <c r="J58" s="105"/>
      <c r="K58" s="105">
        <v>20</v>
      </c>
      <c r="L58" s="105">
        <v>1</v>
      </c>
      <c r="M58" s="105"/>
      <c r="N58" s="105"/>
      <c r="O58" s="105"/>
      <c r="P58" s="105"/>
      <c r="Q58" s="105"/>
      <c r="R58" s="105"/>
      <c r="S58" s="105"/>
      <c r="T58" s="106"/>
      <c r="U58" s="130"/>
      <c r="V58" s="1"/>
      <c r="W58" s="68">
        <f t="shared" si="9"/>
        <v>0</v>
      </c>
      <c r="X58" s="68">
        <f t="shared" si="10"/>
        <v>0</v>
      </c>
      <c r="Y58" s="68">
        <f t="shared" si="11"/>
        <v>0</v>
      </c>
      <c r="Z58" s="68">
        <f t="shared" si="12"/>
        <v>0</v>
      </c>
      <c r="AA58" s="68"/>
      <c r="AB58" s="68">
        <v>0</v>
      </c>
      <c r="AC58" s="69">
        <f t="shared" si="14"/>
        <v>0</v>
      </c>
      <c r="AD58" s="70">
        <v>0</v>
      </c>
      <c r="AE58" s="63">
        <v>40435</v>
      </c>
      <c r="AF58" s="72"/>
      <c r="AG58" s="63" t="s">
        <v>938</v>
      </c>
      <c r="AH58" s="23" t="s">
        <v>939</v>
      </c>
      <c r="AI58" s="60"/>
      <c r="AJ58" s="124" t="s">
        <v>1608</v>
      </c>
      <c r="AK58" s="121" t="s">
        <v>1109</v>
      </c>
      <c r="AL58" s="107"/>
      <c r="AM58" s="108"/>
      <c r="AN58" s="109"/>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10"/>
      <c r="CO58" s="111"/>
      <c r="CP58" s="110"/>
      <c r="CQ58" s="111"/>
      <c r="CR58" s="110"/>
      <c r="CS58" s="111"/>
      <c r="CT58" s="112">
        <f t="shared" si="13"/>
        <v>0</v>
      </c>
      <c r="CU58" s="113"/>
      <c r="CV58" s="114"/>
      <c r="CW58" s="115"/>
      <c r="CX58" s="116"/>
      <c r="CY58" s="117"/>
      <c r="CZ58" s="116"/>
      <c r="DA58" s="113"/>
      <c r="DB58" s="114"/>
      <c r="DC58" s="64"/>
      <c r="DD58" s="118"/>
    </row>
    <row r="59" spans="1:108" ht="24" outlineLevel="2">
      <c r="A59" s="178">
        <v>40434</v>
      </c>
      <c r="B59" s="174" t="s">
        <v>1233</v>
      </c>
      <c r="C59" s="174" t="s">
        <v>1110</v>
      </c>
      <c r="D59" s="179" t="s">
        <v>1262</v>
      </c>
      <c r="E59" s="163"/>
      <c r="F59" s="105"/>
      <c r="G59" s="105"/>
      <c r="H59" s="105">
        <v>1067</v>
      </c>
      <c r="I59" s="105">
        <v>330</v>
      </c>
      <c r="J59" s="105"/>
      <c r="K59" s="105">
        <v>330</v>
      </c>
      <c r="L59" s="105"/>
      <c r="M59" s="105"/>
      <c r="N59" s="105"/>
      <c r="O59" s="105"/>
      <c r="P59" s="105"/>
      <c r="Q59" s="105"/>
      <c r="R59" s="105"/>
      <c r="S59" s="105"/>
      <c r="T59" s="106"/>
      <c r="U59" s="130" t="s">
        <v>1111</v>
      </c>
      <c r="V59" s="1"/>
      <c r="W59" s="68">
        <f t="shared" si="9"/>
        <v>0</v>
      </c>
      <c r="X59" s="68">
        <f t="shared" si="10"/>
        <v>0</v>
      </c>
      <c r="Y59" s="68">
        <f t="shared" si="11"/>
        <v>0</v>
      </c>
      <c r="Z59" s="68">
        <f t="shared" si="12"/>
        <v>0</v>
      </c>
      <c r="AA59" s="68"/>
      <c r="AB59" s="68">
        <v>0</v>
      </c>
      <c r="AC59" s="69">
        <f t="shared" si="14"/>
        <v>0</v>
      </c>
      <c r="AD59" s="70">
        <v>0</v>
      </c>
      <c r="AE59" s="63">
        <v>40435</v>
      </c>
      <c r="AF59" s="72"/>
      <c r="AG59" s="63" t="s">
        <v>938</v>
      </c>
      <c r="AH59" s="23" t="s">
        <v>939</v>
      </c>
      <c r="AI59" s="60"/>
      <c r="AJ59" s="124" t="s">
        <v>1608</v>
      </c>
      <c r="AK59" s="121" t="s">
        <v>1112</v>
      </c>
      <c r="AL59" s="107"/>
      <c r="AM59" s="108"/>
      <c r="AN59" s="109"/>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10"/>
      <c r="CO59" s="111"/>
      <c r="CP59" s="110"/>
      <c r="CQ59" s="111"/>
      <c r="CR59" s="110"/>
      <c r="CS59" s="111"/>
      <c r="CT59" s="112">
        <f t="shared" si="13"/>
        <v>0</v>
      </c>
      <c r="CU59" s="113"/>
      <c r="CV59" s="114"/>
      <c r="CW59" s="115"/>
      <c r="CX59" s="116"/>
      <c r="CY59" s="117"/>
      <c r="CZ59" s="116"/>
      <c r="DA59" s="113"/>
      <c r="DB59" s="114"/>
      <c r="DC59" s="64"/>
      <c r="DD59" s="118"/>
    </row>
    <row r="60" spans="1:108" ht="24" outlineLevel="2">
      <c r="A60" s="178">
        <v>40443</v>
      </c>
      <c r="B60" s="164" t="s">
        <v>1233</v>
      </c>
      <c r="C60" s="164" t="s">
        <v>1908</v>
      </c>
      <c r="D60" s="166" t="s">
        <v>1262</v>
      </c>
      <c r="E60" s="163"/>
      <c r="F60" s="105"/>
      <c r="G60" s="105"/>
      <c r="H60" s="105">
        <v>1000</v>
      </c>
      <c r="I60" s="105">
        <v>200</v>
      </c>
      <c r="J60" s="105"/>
      <c r="K60" s="105">
        <v>200</v>
      </c>
      <c r="L60" s="105"/>
      <c r="M60" s="105"/>
      <c r="N60" s="105"/>
      <c r="O60" s="105"/>
      <c r="P60" s="105"/>
      <c r="Q60" s="105"/>
      <c r="R60" s="105"/>
      <c r="S60" s="105"/>
      <c r="T60" s="106"/>
      <c r="U60" s="130"/>
      <c r="V60" s="1"/>
      <c r="W60" s="68">
        <f t="shared" si="9"/>
        <v>0</v>
      </c>
      <c r="X60" s="68">
        <f t="shared" si="10"/>
        <v>0</v>
      </c>
      <c r="Y60" s="68">
        <f t="shared" si="11"/>
        <v>0</v>
      </c>
      <c r="Z60" s="68">
        <f t="shared" si="12"/>
        <v>0</v>
      </c>
      <c r="AA60" s="68"/>
      <c r="AB60" s="68">
        <v>0</v>
      </c>
      <c r="AC60" s="69">
        <f t="shared" si="14"/>
        <v>0</v>
      </c>
      <c r="AD60" s="70">
        <v>0</v>
      </c>
      <c r="AE60" s="63">
        <v>40444</v>
      </c>
      <c r="AF60" s="72"/>
      <c r="AG60" s="63" t="s">
        <v>938</v>
      </c>
      <c r="AH60" s="23" t="s">
        <v>939</v>
      </c>
      <c r="AI60" s="60"/>
      <c r="AJ60" s="124" t="s">
        <v>1608</v>
      </c>
      <c r="AK60" s="121" t="s">
        <v>1348</v>
      </c>
      <c r="AL60" s="107"/>
      <c r="AM60" s="108"/>
      <c r="AN60" s="109"/>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10"/>
      <c r="CO60" s="111"/>
      <c r="CP60" s="110"/>
      <c r="CQ60" s="111"/>
      <c r="CR60" s="110"/>
      <c r="CS60" s="111"/>
      <c r="CT60" s="112">
        <f t="shared" si="13"/>
        <v>0</v>
      </c>
      <c r="CU60" s="113"/>
      <c r="CV60" s="114"/>
      <c r="CW60" s="115"/>
      <c r="CX60" s="116"/>
      <c r="CY60" s="117"/>
      <c r="CZ60" s="116"/>
      <c r="DA60" s="113"/>
      <c r="DB60" s="114"/>
      <c r="DC60" s="64"/>
      <c r="DD60" s="118"/>
    </row>
    <row r="61" spans="1:108" ht="60" outlineLevel="2">
      <c r="A61" s="178">
        <v>40445</v>
      </c>
      <c r="B61" s="164" t="s">
        <v>1233</v>
      </c>
      <c r="C61" s="164" t="s">
        <v>436</v>
      </c>
      <c r="D61" s="166" t="s">
        <v>1262</v>
      </c>
      <c r="E61" s="163"/>
      <c r="F61" s="105"/>
      <c r="G61" s="105"/>
      <c r="H61" s="105">
        <v>2150</v>
      </c>
      <c r="I61" s="105">
        <v>545</v>
      </c>
      <c r="J61" s="105"/>
      <c r="K61" s="105"/>
      <c r="L61" s="105"/>
      <c r="M61" s="105"/>
      <c r="N61" s="105"/>
      <c r="O61" s="105"/>
      <c r="P61" s="105"/>
      <c r="Q61" s="105"/>
      <c r="R61" s="105"/>
      <c r="S61" s="105"/>
      <c r="T61" s="106"/>
      <c r="U61" s="130"/>
      <c r="V61" s="1"/>
      <c r="W61" s="68">
        <f t="shared" si="9"/>
        <v>0</v>
      </c>
      <c r="X61" s="68">
        <f t="shared" si="10"/>
        <v>0</v>
      </c>
      <c r="Y61" s="68">
        <f t="shared" si="11"/>
        <v>0</v>
      </c>
      <c r="Z61" s="68">
        <f t="shared" si="12"/>
        <v>0</v>
      </c>
      <c r="AA61" s="68"/>
      <c r="AB61" s="68">
        <v>0</v>
      </c>
      <c r="AC61" s="69">
        <f t="shared" si="14"/>
        <v>0</v>
      </c>
      <c r="AD61" s="70">
        <v>0</v>
      </c>
      <c r="AE61" s="63"/>
      <c r="AF61" s="72"/>
      <c r="AG61" s="63"/>
      <c r="AH61" s="23"/>
      <c r="AI61" s="60"/>
      <c r="AJ61" s="124"/>
      <c r="AK61" s="121" t="s">
        <v>2135</v>
      </c>
      <c r="AL61" s="107"/>
      <c r="AM61" s="108"/>
      <c r="AN61" s="109"/>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10"/>
      <c r="CO61" s="111"/>
      <c r="CP61" s="110"/>
      <c r="CQ61" s="111"/>
      <c r="CR61" s="110"/>
      <c r="CS61" s="111"/>
      <c r="CT61" s="112">
        <f t="shared" si="13"/>
        <v>0</v>
      </c>
      <c r="CU61" s="113"/>
      <c r="CV61" s="114"/>
      <c r="CW61" s="115"/>
      <c r="CX61" s="116"/>
      <c r="CY61" s="117"/>
      <c r="CZ61" s="116"/>
      <c r="DA61" s="113"/>
      <c r="DB61" s="114"/>
      <c r="DC61" s="64"/>
      <c r="DD61" s="118"/>
    </row>
    <row r="62" spans="1:108" ht="48" outlineLevel="2">
      <c r="A62" s="178">
        <v>40445</v>
      </c>
      <c r="B62" s="164" t="s">
        <v>1233</v>
      </c>
      <c r="C62" s="164" t="s">
        <v>1277</v>
      </c>
      <c r="D62" s="166" t="s">
        <v>1262</v>
      </c>
      <c r="E62" s="163"/>
      <c r="F62" s="105"/>
      <c r="G62" s="105"/>
      <c r="H62" s="105">
        <f>620*5</f>
        <v>3100</v>
      </c>
      <c r="I62" s="105">
        <v>620</v>
      </c>
      <c r="J62" s="105"/>
      <c r="K62" s="105">
        <v>620</v>
      </c>
      <c r="L62" s="105"/>
      <c r="M62" s="105"/>
      <c r="N62" s="105"/>
      <c r="O62" s="105"/>
      <c r="P62" s="105"/>
      <c r="Q62" s="105"/>
      <c r="R62" s="105"/>
      <c r="S62" s="105"/>
      <c r="T62" s="106"/>
      <c r="U62" s="130"/>
      <c r="V62" s="1">
        <v>40508</v>
      </c>
      <c r="W62" s="68">
        <f t="shared" si="9"/>
        <v>24759000</v>
      </c>
      <c r="X62" s="68">
        <f t="shared" si="10"/>
        <v>17000000</v>
      </c>
      <c r="Y62" s="68">
        <f t="shared" si="11"/>
        <v>13680000</v>
      </c>
      <c r="Z62" s="68">
        <f t="shared" si="12"/>
        <v>0</v>
      </c>
      <c r="AA62" s="68"/>
      <c r="AB62" s="68">
        <v>0</v>
      </c>
      <c r="AC62" s="69">
        <f t="shared" si="14"/>
        <v>55439000</v>
      </c>
      <c r="AD62" s="70">
        <v>0</v>
      </c>
      <c r="AE62" s="63">
        <v>40448</v>
      </c>
      <c r="AF62" s="72">
        <v>58109</v>
      </c>
      <c r="AG62" s="63" t="s">
        <v>954</v>
      </c>
      <c r="AH62" s="23" t="s">
        <v>955</v>
      </c>
      <c r="AI62" s="60">
        <v>24950</v>
      </c>
      <c r="AJ62" s="133" t="s">
        <v>415</v>
      </c>
      <c r="AK62" s="121" t="s">
        <v>812</v>
      </c>
      <c r="AL62" s="107"/>
      <c r="AM62" s="108"/>
      <c r="AN62" s="109"/>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v>200</v>
      </c>
      <c r="BK62" s="108">
        <f>200*25500</f>
        <v>5100000</v>
      </c>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v>200</v>
      </c>
      <c r="CI62" s="108">
        <f>200*22000</f>
        <v>4400000</v>
      </c>
      <c r="CJ62" s="108"/>
      <c r="CK62" s="108"/>
      <c r="CL62" s="108"/>
      <c r="CM62" s="108"/>
      <c r="CN62" s="110">
        <v>200</v>
      </c>
      <c r="CO62" s="111">
        <f>200*36595</f>
        <v>7319000</v>
      </c>
      <c r="CP62" s="110">
        <v>200</v>
      </c>
      <c r="CQ62" s="111">
        <f>200*39700</f>
        <v>7940000</v>
      </c>
      <c r="CR62" s="110"/>
      <c r="CS62" s="111"/>
      <c r="CT62" s="112">
        <f t="shared" si="13"/>
        <v>24759000</v>
      </c>
      <c r="CU62" s="113"/>
      <c r="CV62" s="114"/>
      <c r="CW62" s="115">
        <v>200</v>
      </c>
      <c r="CX62" s="116">
        <f>200*85000</f>
        <v>17000000</v>
      </c>
      <c r="CY62" s="117"/>
      <c r="CZ62" s="116"/>
      <c r="DA62" s="113">
        <v>600</v>
      </c>
      <c r="DB62" s="114">
        <f>600*22800</f>
        <v>13680000</v>
      </c>
      <c r="DC62" s="64"/>
      <c r="DD62" s="118"/>
    </row>
    <row r="63" spans="1:108" ht="24" outlineLevel="2">
      <c r="A63" s="178">
        <v>40447</v>
      </c>
      <c r="B63" s="164" t="s">
        <v>1233</v>
      </c>
      <c r="C63" s="164" t="s">
        <v>727</v>
      </c>
      <c r="D63" s="166" t="s">
        <v>1262</v>
      </c>
      <c r="E63" s="163"/>
      <c r="F63" s="105"/>
      <c r="G63" s="105"/>
      <c r="H63" s="105">
        <v>200</v>
      </c>
      <c r="I63" s="105">
        <v>40</v>
      </c>
      <c r="J63" s="105"/>
      <c r="K63" s="105">
        <v>40</v>
      </c>
      <c r="L63" s="105"/>
      <c r="M63" s="105"/>
      <c r="N63" s="105"/>
      <c r="O63" s="105"/>
      <c r="P63" s="105"/>
      <c r="Q63" s="105"/>
      <c r="R63" s="105"/>
      <c r="S63" s="105"/>
      <c r="T63" s="106"/>
      <c r="U63" s="130"/>
      <c r="V63" s="1"/>
      <c r="W63" s="68">
        <f t="shared" si="9"/>
        <v>0</v>
      </c>
      <c r="X63" s="68">
        <f t="shared" si="10"/>
        <v>0</v>
      </c>
      <c r="Y63" s="68">
        <f t="shared" si="11"/>
        <v>0</v>
      </c>
      <c r="Z63" s="68">
        <f t="shared" si="12"/>
        <v>0</v>
      </c>
      <c r="AA63" s="68"/>
      <c r="AB63" s="68">
        <v>0</v>
      </c>
      <c r="AC63" s="69">
        <f t="shared" si="14"/>
        <v>0</v>
      </c>
      <c r="AD63" s="70">
        <v>0</v>
      </c>
      <c r="AE63" s="63">
        <v>40448</v>
      </c>
      <c r="AF63" s="72"/>
      <c r="AG63" s="63" t="s">
        <v>938</v>
      </c>
      <c r="AH63" s="23" t="s">
        <v>939</v>
      </c>
      <c r="AI63" s="60"/>
      <c r="AJ63" s="124" t="s">
        <v>1608</v>
      </c>
      <c r="AK63" s="121" t="s">
        <v>728</v>
      </c>
      <c r="AL63" s="107"/>
      <c r="AM63" s="108"/>
      <c r="AN63" s="109"/>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10"/>
      <c r="CO63" s="111"/>
      <c r="CP63" s="110"/>
      <c r="CQ63" s="111"/>
      <c r="CR63" s="110"/>
      <c r="CS63" s="111"/>
      <c r="CT63" s="112">
        <f t="shared" si="13"/>
        <v>0</v>
      </c>
      <c r="CU63" s="113"/>
      <c r="CV63" s="114"/>
      <c r="CW63" s="115"/>
      <c r="CX63" s="116"/>
      <c r="CY63" s="117"/>
      <c r="CZ63" s="116"/>
      <c r="DA63" s="113"/>
      <c r="DB63" s="114"/>
      <c r="DC63" s="64"/>
      <c r="DD63" s="118"/>
    </row>
    <row r="64" spans="1:108" ht="24" outlineLevel="2">
      <c r="A64" s="178">
        <v>40447</v>
      </c>
      <c r="B64" s="164" t="s">
        <v>1233</v>
      </c>
      <c r="C64" s="164" t="s">
        <v>1516</v>
      </c>
      <c r="D64" s="166" t="s">
        <v>1262</v>
      </c>
      <c r="E64" s="163"/>
      <c r="F64" s="105"/>
      <c r="G64" s="105"/>
      <c r="H64" s="105">
        <v>50</v>
      </c>
      <c r="I64" s="105">
        <v>10</v>
      </c>
      <c r="J64" s="105"/>
      <c r="K64" s="105">
        <v>10</v>
      </c>
      <c r="L64" s="105"/>
      <c r="M64" s="105"/>
      <c r="N64" s="105"/>
      <c r="O64" s="105"/>
      <c r="P64" s="105"/>
      <c r="Q64" s="105"/>
      <c r="R64" s="105"/>
      <c r="S64" s="105"/>
      <c r="T64" s="106"/>
      <c r="U64" s="130"/>
      <c r="V64" s="1"/>
      <c r="W64" s="68">
        <f t="shared" si="9"/>
        <v>0</v>
      </c>
      <c r="X64" s="68">
        <f t="shared" si="10"/>
        <v>0</v>
      </c>
      <c r="Y64" s="68">
        <f t="shared" si="11"/>
        <v>0</v>
      </c>
      <c r="Z64" s="68">
        <f t="shared" si="12"/>
        <v>0</v>
      </c>
      <c r="AA64" s="68"/>
      <c r="AB64" s="68">
        <v>0</v>
      </c>
      <c r="AC64" s="69">
        <f t="shared" si="14"/>
        <v>0</v>
      </c>
      <c r="AD64" s="70">
        <v>0</v>
      </c>
      <c r="AE64" s="63">
        <v>40448</v>
      </c>
      <c r="AF64" s="72"/>
      <c r="AG64" s="63" t="s">
        <v>954</v>
      </c>
      <c r="AH64" s="23" t="s">
        <v>955</v>
      </c>
      <c r="AI64" s="60"/>
      <c r="AJ64" s="124" t="s">
        <v>7</v>
      </c>
      <c r="AK64" s="121" t="s">
        <v>729</v>
      </c>
      <c r="AL64" s="107"/>
      <c r="AM64" s="108"/>
      <c r="AN64" s="109"/>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10"/>
      <c r="CO64" s="111"/>
      <c r="CP64" s="110"/>
      <c r="CQ64" s="111"/>
      <c r="CR64" s="110"/>
      <c r="CS64" s="111"/>
      <c r="CT64" s="112">
        <f t="shared" si="13"/>
        <v>0</v>
      </c>
      <c r="CU64" s="113"/>
      <c r="CV64" s="114"/>
      <c r="CW64" s="115"/>
      <c r="CX64" s="116"/>
      <c r="CY64" s="117"/>
      <c r="CZ64" s="116"/>
      <c r="DA64" s="113"/>
      <c r="DB64" s="114"/>
      <c r="DC64" s="64"/>
      <c r="DD64" s="118"/>
    </row>
    <row r="65" spans="1:108" outlineLevel="2">
      <c r="A65" s="178">
        <v>40447</v>
      </c>
      <c r="B65" s="164" t="s">
        <v>1233</v>
      </c>
      <c r="C65" s="164" t="s">
        <v>1206</v>
      </c>
      <c r="D65" s="166" t="s">
        <v>1262</v>
      </c>
      <c r="E65" s="163"/>
      <c r="F65" s="105"/>
      <c r="G65" s="105"/>
      <c r="H65" s="105">
        <v>130</v>
      </c>
      <c r="I65" s="105">
        <v>26</v>
      </c>
      <c r="J65" s="105">
        <v>2</v>
      </c>
      <c r="K65" s="105">
        <v>24</v>
      </c>
      <c r="L65" s="105">
        <v>1</v>
      </c>
      <c r="M65" s="105"/>
      <c r="N65" s="105"/>
      <c r="O65" s="105"/>
      <c r="P65" s="105"/>
      <c r="Q65" s="105"/>
      <c r="R65" s="105"/>
      <c r="S65" s="105"/>
      <c r="T65" s="106"/>
      <c r="U65" s="130"/>
      <c r="V65" s="1"/>
      <c r="W65" s="68">
        <f t="shared" si="9"/>
        <v>0</v>
      </c>
      <c r="X65" s="68">
        <f t="shared" si="10"/>
        <v>0</v>
      </c>
      <c r="Y65" s="68">
        <f t="shared" si="11"/>
        <v>0</v>
      </c>
      <c r="Z65" s="68">
        <f t="shared" si="12"/>
        <v>0</v>
      </c>
      <c r="AA65" s="68"/>
      <c r="AB65" s="68">
        <v>0</v>
      </c>
      <c r="AC65" s="69">
        <f t="shared" si="14"/>
        <v>0</v>
      </c>
      <c r="AD65" s="70">
        <v>0</v>
      </c>
      <c r="AE65" s="63">
        <v>40448</v>
      </c>
      <c r="AF65" s="72"/>
      <c r="AG65" s="63" t="s">
        <v>938</v>
      </c>
      <c r="AH65" s="23" t="s">
        <v>939</v>
      </c>
      <c r="AI65" s="60"/>
      <c r="AJ65" s="124" t="s">
        <v>1608</v>
      </c>
      <c r="AK65" s="121" t="s">
        <v>733</v>
      </c>
      <c r="AL65" s="107"/>
      <c r="AM65" s="108"/>
      <c r="AN65" s="109"/>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10"/>
      <c r="CO65" s="111"/>
      <c r="CP65" s="110"/>
      <c r="CQ65" s="111"/>
      <c r="CR65" s="110"/>
      <c r="CS65" s="111"/>
      <c r="CT65" s="112">
        <f t="shared" si="13"/>
        <v>0</v>
      </c>
      <c r="CU65" s="113"/>
      <c r="CV65" s="114"/>
      <c r="CW65" s="115"/>
      <c r="CX65" s="116"/>
      <c r="CY65" s="117"/>
      <c r="CZ65" s="116"/>
      <c r="DA65" s="113"/>
      <c r="DB65" s="114"/>
      <c r="DC65" s="64"/>
      <c r="DD65" s="118"/>
    </row>
    <row r="66" spans="1:108" ht="16.5" outlineLevel="2">
      <c r="A66" s="178">
        <v>40447</v>
      </c>
      <c r="B66" s="164" t="s">
        <v>1233</v>
      </c>
      <c r="C66" s="164" t="s">
        <v>1857</v>
      </c>
      <c r="D66" s="166" t="s">
        <v>1262</v>
      </c>
      <c r="E66" s="163"/>
      <c r="F66" s="105"/>
      <c r="G66" s="105"/>
      <c r="H66" s="105">
        <v>1500</v>
      </c>
      <c r="I66" s="105">
        <v>300</v>
      </c>
      <c r="J66" s="105"/>
      <c r="K66" s="105">
        <f>300-41</f>
        <v>259</v>
      </c>
      <c r="L66" s="105"/>
      <c r="M66" s="105"/>
      <c r="N66" s="105"/>
      <c r="O66" s="105"/>
      <c r="P66" s="105"/>
      <c r="Q66" s="105"/>
      <c r="R66" s="105"/>
      <c r="S66" s="105"/>
      <c r="T66" s="106"/>
      <c r="U66" s="130" t="s">
        <v>735</v>
      </c>
      <c r="V66" s="1"/>
      <c r="W66" s="68">
        <f t="shared" si="9"/>
        <v>0</v>
      </c>
      <c r="X66" s="68">
        <f t="shared" si="10"/>
        <v>0</v>
      </c>
      <c r="Y66" s="68">
        <f t="shared" si="11"/>
        <v>0</v>
      </c>
      <c r="Z66" s="68">
        <f t="shared" si="12"/>
        <v>0</v>
      </c>
      <c r="AA66" s="68"/>
      <c r="AB66" s="68">
        <v>0</v>
      </c>
      <c r="AC66" s="69">
        <f t="shared" si="14"/>
        <v>0</v>
      </c>
      <c r="AD66" s="70">
        <v>0</v>
      </c>
      <c r="AE66" s="63">
        <v>40448</v>
      </c>
      <c r="AF66" s="72"/>
      <c r="AG66" s="63" t="s">
        <v>938</v>
      </c>
      <c r="AH66" s="23" t="s">
        <v>939</v>
      </c>
      <c r="AI66" s="60"/>
      <c r="AJ66" s="124" t="s">
        <v>1608</v>
      </c>
      <c r="AK66" s="121" t="s">
        <v>734</v>
      </c>
      <c r="AL66" s="107"/>
      <c r="AM66" s="108"/>
      <c r="AN66" s="109"/>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10"/>
      <c r="CO66" s="111"/>
      <c r="CP66" s="110"/>
      <c r="CQ66" s="111"/>
      <c r="CR66" s="110"/>
      <c r="CS66" s="111"/>
      <c r="CT66" s="112">
        <f t="shared" si="13"/>
        <v>0</v>
      </c>
      <c r="CU66" s="113"/>
      <c r="CV66" s="114"/>
      <c r="CW66" s="115"/>
      <c r="CX66" s="116"/>
      <c r="CY66" s="117"/>
      <c r="CZ66" s="116"/>
      <c r="DA66" s="113"/>
      <c r="DB66" s="114"/>
      <c r="DC66" s="64"/>
      <c r="DD66" s="118"/>
    </row>
    <row r="67" spans="1:108" outlineLevel="2">
      <c r="A67" s="178">
        <v>40447</v>
      </c>
      <c r="B67" s="164" t="s">
        <v>1233</v>
      </c>
      <c r="C67" s="164" t="s">
        <v>725</v>
      </c>
      <c r="D67" s="165" t="s">
        <v>1182</v>
      </c>
      <c r="E67" s="163"/>
      <c r="F67" s="105"/>
      <c r="G67" s="105"/>
      <c r="H67" s="105">
        <v>15</v>
      </c>
      <c r="I67" s="105">
        <v>3</v>
      </c>
      <c r="J67" s="105"/>
      <c r="K67" s="105">
        <v>3</v>
      </c>
      <c r="L67" s="105"/>
      <c r="M67" s="105"/>
      <c r="N67" s="105"/>
      <c r="O67" s="105"/>
      <c r="P67" s="105"/>
      <c r="Q67" s="105"/>
      <c r="R67" s="105"/>
      <c r="S67" s="105"/>
      <c r="T67" s="106"/>
      <c r="U67" s="130"/>
      <c r="V67" s="1"/>
      <c r="W67" s="68">
        <f t="shared" si="9"/>
        <v>0</v>
      </c>
      <c r="X67" s="68">
        <f t="shared" si="10"/>
        <v>0</v>
      </c>
      <c r="Y67" s="68">
        <f t="shared" si="11"/>
        <v>0</v>
      </c>
      <c r="Z67" s="68">
        <f t="shared" si="12"/>
        <v>0</v>
      </c>
      <c r="AA67" s="68"/>
      <c r="AB67" s="68">
        <v>0</v>
      </c>
      <c r="AC67" s="69">
        <f t="shared" si="14"/>
        <v>0</v>
      </c>
      <c r="AD67" s="70">
        <v>0</v>
      </c>
      <c r="AE67" s="63">
        <v>40448</v>
      </c>
      <c r="AF67" s="72"/>
      <c r="AG67" s="63" t="s">
        <v>938</v>
      </c>
      <c r="AH67" s="23" t="s">
        <v>939</v>
      </c>
      <c r="AI67" s="60"/>
      <c r="AJ67" s="124" t="s">
        <v>1608</v>
      </c>
      <c r="AK67" s="121" t="s">
        <v>726</v>
      </c>
      <c r="AL67" s="107"/>
      <c r="AM67" s="108"/>
      <c r="AN67" s="109"/>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10"/>
      <c r="CO67" s="111"/>
      <c r="CP67" s="110"/>
      <c r="CQ67" s="111"/>
      <c r="CR67" s="110"/>
      <c r="CS67" s="111"/>
      <c r="CT67" s="112">
        <f t="shared" si="13"/>
        <v>0</v>
      </c>
      <c r="CU67" s="113"/>
      <c r="CV67" s="114"/>
      <c r="CW67" s="115"/>
      <c r="CX67" s="116"/>
      <c r="CY67" s="117"/>
      <c r="CZ67" s="116"/>
      <c r="DA67" s="113"/>
      <c r="DB67" s="114"/>
      <c r="DC67" s="64"/>
      <c r="DD67" s="118"/>
    </row>
    <row r="68" spans="1:108" ht="24" outlineLevel="2">
      <c r="A68" s="178">
        <v>40447</v>
      </c>
      <c r="B68" s="164" t="s">
        <v>1233</v>
      </c>
      <c r="C68" s="164" t="s">
        <v>731</v>
      </c>
      <c r="D68" s="166" t="s">
        <v>435</v>
      </c>
      <c r="E68" s="163"/>
      <c r="F68" s="105"/>
      <c r="G68" s="105"/>
      <c r="H68" s="105"/>
      <c r="I68" s="105"/>
      <c r="J68" s="105"/>
      <c r="K68" s="105"/>
      <c r="L68" s="105"/>
      <c r="M68" s="105"/>
      <c r="N68" s="105"/>
      <c r="O68" s="105"/>
      <c r="P68" s="105"/>
      <c r="Q68" s="105"/>
      <c r="R68" s="105"/>
      <c r="S68" s="105">
        <v>1</v>
      </c>
      <c r="T68" s="106"/>
      <c r="U68" s="130"/>
      <c r="V68" s="1"/>
      <c r="W68" s="68">
        <f t="shared" si="9"/>
        <v>0</v>
      </c>
      <c r="X68" s="68">
        <f t="shared" si="10"/>
        <v>0</v>
      </c>
      <c r="Y68" s="68">
        <f t="shared" si="11"/>
        <v>0</v>
      </c>
      <c r="Z68" s="68">
        <f t="shared" si="12"/>
        <v>0</v>
      </c>
      <c r="AA68" s="68"/>
      <c r="AB68" s="68">
        <v>0</v>
      </c>
      <c r="AC68" s="69">
        <f t="shared" si="14"/>
        <v>0</v>
      </c>
      <c r="AD68" s="70">
        <v>0</v>
      </c>
      <c r="AE68" s="63">
        <v>40448</v>
      </c>
      <c r="AF68" s="72"/>
      <c r="AG68" s="63" t="s">
        <v>938</v>
      </c>
      <c r="AH68" s="23" t="s">
        <v>939</v>
      </c>
      <c r="AI68" s="60"/>
      <c r="AJ68" s="124" t="s">
        <v>1608</v>
      </c>
      <c r="AK68" s="121" t="s">
        <v>732</v>
      </c>
      <c r="AL68" s="107"/>
      <c r="AM68" s="108"/>
      <c r="AN68" s="109"/>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10"/>
      <c r="CO68" s="111"/>
      <c r="CP68" s="110"/>
      <c r="CQ68" s="111"/>
      <c r="CR68" s="110"/>
      <c r="CS68" s="111"/>
      <c r="CT68" s="112">
        <f t="shared" si="13"/>
        <v>0</v>
      </c>
      <c r="CU68" s="113"/>
      <c r="CV68" s="114"/>
      <c r="CW68" s="115"/>
      <c r="CX68" s="116"/>
      <c r="CY68" s="117"/>
      <c r="CZ68" s="116"/>
      <c r="DA68" s="113"/>
      <c r="DB68" s="114"/>
      <c r="DC68" s="64"/>
      <c r="DD68" s="118"/>
    </row>
    <row r="69" spans="1:108" ht="22.5" outlineLevel="2">
      <c r="A69" s="178">
        <v>40447</v>
      </c>
      <c r="B69" s="164" t="s">
        <v>1233</v>
      </c>
      <c r="C69" s="164" t="s">
        <v>1822</v>
      </c>
      <c r="D69" s="165" t="s">
        <v>1182</v>
      </c>
      <c r="E69" s="163"/>
      <c r="F69" s="105"/>
      <c r="G69" s="105"/>
      <c r="H69" s="105">
        <v>3</v>
      </c>
      <c r="I69" s="105">
        <v>1</v>
      </c>
      <c r="J69" s="105"/>
      <c r="K69" s="105">
        <v>1</v>
      </c>
      <c r="L69" s="105"/>
      <c r="M69" s="105"/>
      <c r="N69" s="105"/>
      <c r="O69" s="105"/>
      <c r="P69" s="105"/>
      <c r="Q69" s="105"/>
      <c r="R69" s="105"/>
      <c r="S69" s="105"/>
      <c r="T69" s="106"/>
      <c r="U69" s="130"/>
      <c r="V69" s="1"/>
      <c r="W69" s="68">
        <f t="shared" ref="W69:W100" si="15">CT69</f>
        <v>0</v>
      </c>
      <c r="X69" s="68">
        <f t="shared" ref="X69:X100" si="16">CX69</f>
        <v>0</v>
      </c>
      <c r="Y69" s="68">
        <f t="shared" ref="Y69:Y100" si="17">CZ69+DB69</f>
        <v>0</v>
      </c>
      <c r="Z69" s="68">
        <f t="shared" ref="Z69:Z100" si="18">CV69</f>
        <v>0</v>
      </c>
      <c r="AA69" s="68"/>
      <c r="AB69" s="68">
        <v>0</v>
      </c>
      <c r="AC69" s="69">
        <f t="shared" si="14"/>
        <v>0</v>
      </c>
      <c r="AD69" s="70">
        <v>0</v>
      </c>
      <c r="AE69" s="63">
        <v>40448</v>
      </c>
      <c r="AF69" s="72"/>
      <c r="AG69" s="63" t="s">
        <v>938</v>
      </c>
      <c r="AH69" s="23" t="s">
        <v>939</v>
      </c>
      <c r="AI69" s="60"/>
      <c r="AJ69" s="124" t="s">
        <v>1608</v>
      </c>
      <c r="AK69" s="121" t="s">
        <v>730</v>
      </c>
      <c r="AL69" s="107"/>
      <c r="AM69" s="108"/>
      <c r="AN69" s="109"/>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10"/>
      <c r="CO69" s="111"/>
      <c r="CP69" s="110"/>
      <c r="CQ69" s="111"/>
      <c r="CR69" s="110"/>
      <c r="CS69" s="111"/>
      <c r="CT69" s="112">
        <f t="shared" ref="CT69:CT100" si="19">AM69+AO69+AQ69+AS69+AU69+AW69+AY69+BA69+BC69+BE69+BG69+BI69+BK69+BM69+BO69+BQ69+BS69+BU69+BW69+BY69+CA69+CC69+CE69+CG69+CI69+CK69+CM69+CO69+CQ69+CS69</f>
        <v>0</v>
      </c>
      <c r="CU69" s="113"/>
      <c r="CV69" s="114"/>
      <c r="CW69" s="115"/>
      <c r="CX69" s="116"/>
      <c r="CY69" s="117"/>
      <c r="CZ69" s="116"/>
      <c r="DA69" s="113"/>
      <c r="DB69" s="114"/>
      <c r="DC69" s="64"/>
      <c r="DD69" s="118"/>
    </row>
    <row r="70" spans="1:108" outlineLevel="2">
      <c r="A70" s="178">
        <v>40447</v>
      </c>
      <c r="B70" s="164" t="s">
        <v>1233</v>
      </c>
      <c r="C70" s="164" t="s">
        <v>1470</v>
      </c>
      <c r="D70" s="166" t="s">
        <v>1262</v>
      </c>
      <c r="E70" s="163"/>
      <c r="F70" s="105"/>
      <c r="G70" s="105"/>
      <c r="H70" s="105">
        <v>10</v>
      </c>
      <c r="I70" s="105">
        <v>2</v>
      </c>
      <c r="J70" s="105"/>
      <c r="K70" s="105">
        <v>2</v>
      </c>
      <c r="L70" s="105"/>
      <c r="M70" s="105"/>
      <c r="N70" s="105"/>
      <c r="O70" s="105"/>
      <c r="P70" s="105"/>
      <c r="Q70" s="105"/>
      <c r="R70" s="105"/>
      <c r="S70" s="105"/>
      <c r="T70" s="106"/>
      <c r="U70" s="130"/>
      <c r="V70" s="1"/>
      <c r="W70" s="68">
        <f t="shared" si="15"/>
        <v>0</v>
      </c>
      <c r="X70" s="68">
        <f t="shared" si="16"/>
        <v>0</v>
      </c>
      <c r="Y70" s="68">
        <f t="shared" si="17"/>
        <v>0</v>
      </c>
      <c r="Z70" s="68">
        <f t="shared" si="18"/>
        <v>0</v>
      </c>
      <c r="AA70" s="68"/>
      <c r="AB70" s="68">
        <v>0</v>
      </c>
      <c r="AC70" s="69">
        <f t="shared" si="14"/>
        <v>0</v>
      </c>
      <c r="AD70" s="70">
        <v>0</v>
      </c>
      <c r="AE70" s="63">
        <v>40448</v>
      </c>
      <c r="AF70" s="72"/>
      <c r="AG70" s="63" t="s">
        <v>938</v>
      </c>
      <c r="AH70" s="23" t="s">
        <v>939</v>
      </c>
      <c r="AI70" s="60"/>
      <c r="AJ70" s="124" t="s">
        <v>1608</v>
      </c>
      <c r="AK70" s="121" t="s">
        <v>733</v>
      </c>
      <c r="AL70" s="107"/>
      <c r="AM70" s="108"/>
      <c r="AN70" s="109"/>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10"/>
      <c r="CO70" s="111"/>
      <c r="CP70" s="110"/>
      <c r="CQ70" s="111"/>
      <c r="CR70" s="110"/>
      <c r="CS70" s="111"/>
      <c r="CT70" s="112">
        <f t="shared" si="19"/>
        <v>0</v>
      </c>
      <c r="CU70" s="113"/>
      <c r="CV70" s="114"/>
      <c r="CW70" s="115"/>
      <c r="CX70" s="116"/>
      <c r="CY70" s="117"/>
      <c r="CZ70" s="116"/>
      <c r="DA70" s="113"/>
      <c r="DB70" s="114"/>
      <c r="DC70" s="64"/>
      <c r="DD70" s="118"/>
    </row>
    <row r="71" spans="1:108" ht="96" outlineLevel="2">
      <c r="A71" s="178">
        <v>40448</v>
      </c>
      <c r="B71" s="164" t="s">
        <v>1233</v>
      </c>
      <c r="C71" s="164" t="s">
        <v>739</v>
      </c>
      <c r="D71" s="165" t="s">
        <v>1182</v>
      </c>
      <c r="E71" s="163">
        <v>9</v>
      </c>
      <c r="F71" s="105"/>
      <c r="G71" s="105">
        <v>1</v>
      </c>
      <c r="H71" s="105">
        <v>10</v>
      </c>
      <c r="I71" s="105">
        <v>2</v>
      </c>
      <c r="J71" s="105">
        <v>2</v>
      </c>
      <c r="K71" s="105"/>
      <c r="L71" s="105">
        <v>1</v>
      </c>
      <c r="M71" s="105"/>
      <c r="N71" s="105"/>
      <c r="O71" s="105"/>
      <c r="P71" s="105"/>
      <c r="Q71" s="105"/>
      <c r="R71" s="105"/>
      <c r="S71" s="105"/>
      <c r="T71" s="106"/>
      <c r="U71" s="130"/>
      <c r="V71" s="1">
        <v>40452</v>
      </c>
      <c r="W71" s="68">
        <f t="shared" si="15"/>
        <v>0</v>
      </c>
      <c r="X71" s="68">
        <f t="shared" si="16"/>
        <v>0</v>
      </c>
      <c r="Y71" s="68">
        <f t="shared" si="17"/>
        <v>0</v>
      </c>
      <c r="Z71" s="68">
        <f t="shared" si="18"/>
        <v>0</v>
      </c>
      <c r="AA71" s="68">
        <f>200*24800</f>
        <v>4960000</v>
      </c>
      <c r="AB71" s="68">
        <v>20000000</v>
      </c>
      <c r="AC71" s="69">
        <f t="shared" si="14"/>
        <v>24960000</v>
      </c>
      <c r="AD71" s="70">
        <v>0</v>
      </c>
      <c r="AE71" s="63">
        <v>40449</v>
      </c>
      <c r="AF71" s="72">
        <v>53574</v>
      </c>
      <c r="AG71" s="63" t="s">
        <v>954</v>
      </c>
      <c r="AH71" s="23" t="s">
        <v>955</v>
      </c>
      <c r="AI71" s="75" t="s">
        <v>400</v>
      </c>
      <c r="AJ71" s="124" t="s">
        <v>1476</v>
      </c>
      <c r="AK71" s="121" t="s">
        <v>401</v>
      </c>
      <c r="AL71" s="107"/>
      <c r="AM71" s="108"/>
      <c r="AN71" s="109"/>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10"/>
      <c r="CO71" s="111"/>
      <c r="CP71" s="110"/>
      <c r="CQ71" s="111"/>
      <c r="CR71" s="110"/>
      <c r="CS71" s="111"/>
      <c r="CT71" s="112">
        <f t="shared" si="19"/>
        <v>0</v>
      </c>
      <c r="CU71" s="113"/>
      <c r="CV71" s="114"/>
      <c r="CW71" s="115"/>
      <c r="CX71" s="116"/>
      <c r="CY71" s="117"/>
      <c r="CZ71" s="116"/>
      <c r="DA71" s="113"/>
      <c r="DB71" s="114"/>
      <c r="DC71" s="64"/>
      <c r="DD71" s="118">
        <v>1304</v>
      </c>
    </row>
    <row r="72" spans="1:108" ht="24" outlineLevel="2">
      <c r="A72" s="178">
        <v>40449</v>
      </c>
      <c r="B72" s="164" t="s">
        <v>1233</v>
      </c>
      <c r="C72" s="164" t="s">
        <v>1284</v>
      </c>
      <c r="D72" s="166" t="s">
        <v>1262</v>
      </c>
      <c r="E72" s="163"/>
      <c r="F72" s="105"/>
      <c r="G72" s="105"/>
      <c r="H72" s="105">
        <v>7500</v>
      </c>
      <c r="I72" s="105">
        <v>1500</v>
      </c>
      <c r="J72" s="105"/>
      <c r="K72" s="105">
        <v>1500</v>
      </c>
      <c r="L72" s="105"/>
      <c r="M72" s="105"/>
      <c r="N72" s="105"/>
      <c r="O72" s="105"/>
      <c r="P72" s="105"/>
      <c r="Q72" s="105"/>
      <c r="R72" s="105"/>
      <c r="S72" s="105"/>
      <c r="T72" s="106"/>
      <c r="U72" s="130"/>
      <c r="V72" s="1"/>
      <c r="W72" s="68">
        <f t="shared" si="15"/>
        <v>0</v>
      </c>
      <c r="X72" s="68">
        <f t="shared" si="16"/>
        <v>0</v>
      </c>
      <c r="Y72" s="68">
        <f t="shared" si="17"/>
        <v>0</v>
      </c>
      <c r="Z72" s="68">
        <f t="shared" si="18"/>
        <v>0</v>
      </c>
      <c r="AA72" s="68"/>
      <c r="AB72" s="68">
        <v>0</v>
      </c>
      <c r="AC72" s="69">
        <f t="shared" si="14"/>
        <v>0</v>
      </c>
      <c r="AD72" s="70">
        <v>0</v>
      </c>
      <c r="AE72" s="63">
        <v>40451</v>
      </c>
      <c r="AF72" s="72"/>
      <c r="AG72" s="63" t="s">
        <v>938</v>
      </c>
      <c r="AH72" s="23" t="s">
        <v>939</v>
      </c>
      <c r="AI72" s="60"/>
      <c r="AJ72" s="124" t="s">
        <v>1608</v>
      </c>
      <c r="AK72" s="121" t="s">
        <v>743</v>
      </c>
      <c r="AL72" s="107"/>
      <c r="AM72" s="108"/>
      <c r="AN72" s="109"/>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10"/>
      <c r="CO72" s="111"/>
      <c r="CP72" s="110"/>
      <c r="CQ72" s="111"/>
      <c r="CR72" s="110"/>
      <c r="CS72" s="111"/>
      <c r="CT72" s="112">
        <f t="shared" si="19"/>
        <v>0</v>
      </c>
      <c r="CU72" s="113"/>
      <c r="CV72" s="114"/>
      <c r="CW72" s="115"/>
      <c r="CX72" s="116"/>
      <c r="CY72" s="117"/>
      <c r="CZ72" s="116"/>
      <c r="DA72" s="113"/>
      <c r="DB72" s="114"/>
      <c r="DC72" s="64"/>
      <c r="DD72" s="118"/>
    </row>
    <row r="73" spans="1:108" ht="24" outlineLevel="2">
      <c r="A73" s="178">
        <v>40450</v>
      </c>
      <c r="B73" s="164" t="s">
        <v>1233</v>
      </c>
      <c r="C73" s="164" t="s">
        <v>1859</v>
      </c>
      <c r="D73" s="165" t="s">
        <v>1182</v>
      </c>
      <c r="E73" s="163"/>
      <c r="F73" s="105"/>
      <c r="G73" s="105"/>
      <c r="H73" s="105">
        <v>10</v>
      </c>
      <c r="I73" s="105">
        <v>2</v>
      </c>
      <c r="J73" s="105">
        <v>2</v>
      </c>
      <c r="K73" s="105"/>
      <c r="L73" s="105"/>
      <c r="M73" s="105"/>
      <c r="N73" s="105"/>
      <c r="O73" s="105"/>
      <c r="P73" s="105"/>
      <c r="Q73" s="105"/>
      <c r="R73" s="105"/>
      <c r="S73" s="105"/>
      <c r="T73" s="106"/>
      <c r="U73" s="130" t="s">
        <v>750</v>
      </c>
      <c r="V73" s="1"/>
      <c r="W73" s="68">
        <f t="shared" si="15"/>
        <v>0</v>
      </c>
      <c r="X73" s="68">
        <f t="shared" si="16"/>
        <v>0</v>
      </c>
      <c r="Y73" s="68">
        <f t="shared" si="17"/>
        <v>0</v>
      </c>
      <c r="Z73" s="68">
        <f t="shared" si="18"/>
        <v>0</v>
      </c>
      <c r="AA73" s="68"/>
      <c r="AB73" s="68">
        <v>0</v>
      </c>
      <c r="AC73" s="69">
        <f t="shared" si="14"/>
        <v>0</v>
      </c>
      <c r="AD73" s="70">
        <v>0</v>
      </c>
      <c r="AE73" s="63">
        <v>40451</v>
      </c>
      <c r="AF73" s="72"/>
      <c r="AG73" s="63" t="s">
        <v>938</v>
      </c>
      <c r="AH73" s="23" t="s">
        <v>939</v>
      </c>
      <c r="AI73" s="60"/>
      <c r="AJ73" s="124" t="s">
        <v>1608</v>
      </c>
      <c r="AK73" s="121" t="s">
        <v>749</v>
      </c>
      <c r="AL73" s="107"/>
      <c r="AM73" s="108"/>
      <c r="AN73" s="109"/>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10"/>
      <c r="CO73" s="111"/>
      <c r="CP73" s="110"/>
      <c r="CQ73" s="111"/>
      <c r="CR73" s="110"/>
      <c r="CS73" s="111"/>
      <c r="CT73" s="112">
        <f t="shared" si="19"/>
        <v>0</v>
      </c>
      <c r="CU73" s="113"/>
      <c r="CV73" s="114"/>
      <c r="CW73" s="115"/>
      <c r="CX73" s="116"/>
      <c r="CY73" s="117"/>
      <c r="CZ73" s="116"/>
      <c r="DA73" s="113"/>
      <c r="DB73" s="114"/>
      <c r="DC73" s="64"/>
      <c r="DD73" s="118"/>
    </row>
    <row r="74" spans="1:108" outlineLevel="2">
      <c r="A74" s="178">
        <v>40454</v>
      </c>
      <c r="B74" s="164" t="s">
        <v>1233</v>
      </c>
      <c r="C74" s="164" t="s">
        <v>240</v>
      </c>
      <c r="D74" s="166" t="s">
        <v>435</v>
      </c>
      <c r="E74" s="163"/>
      <c r="F74" s="105"/>
      <c r="G74" s="105"/>
      <c r="H74" s="105">
        <v>100</v>
      </c>
      <c r="I74" s="105">
        <v>20</v>
      </c>
      <c r="J74" s="105"/>
      <c r="K74" s="105">
        <v>20</v>
      </c>
      <c r="L74" s="105"/>
      <c r="M74" s="105"/>
      <c r="N74" s="105"/>
      <c r="O74" s="105"/>
      <c r="P74" s="105"/>
      <c r="Q74" s="105"/>
      <c r="R74" s="105"/>
      <c r="S74" s="105"/>
      <c r="T74" s="106"/>
      <c r="U74" s="130"/>
      <c r="V74" s="1"/>
      <c r="W74" s="68">
        <f t="shared" si="15"/>
        <v>0</v>
      </c>
      <c r="X74" s="68">
        <f t="shared" si="16"/>
        <v>0</v>
      </c>
      <c r="Y74" s="68">
        <f t="shared" si="17"/>
        <v>0</v>
      </c>
      <c r="Z74" s="68">
        <f t="shared" si="18"/>
        <v>0</v>
      </c>
      <c r="AA74" s="68"/>
      <c r="AB74" s="68">
        <v>0</v>
      </c>
      <c r="AC74" s="69">
        <f t="shared" si="14"/>
        <v>0</v>
      </c>
      <c r="AD74" s="70">
        <v>0</v>
      </c>
      <c r="AE74" s="63">
        <v>40455</v>
      </c>
      <c r="AF74" s="72"/>
      <c r="AG74" s="63" t="s">
        <v>938</v>
      </c>
      <c r="AH74" s="23" t="s">
        <v>939</v>
      </c>
      <c r="AI74" s="60"/>
      <c r="AJ74" s="124" t="s">
        <v>1608</v>
      </c>
      <c r="AK74" s="121" t="s">
        <v>777</v>
      </c>
      <c r="AL74" s="107"/>
      <c r="AM74" s="108"/>
      <c r="AN74" s="109"/>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10"/>
      <c r="CO74" s="111"/>
      <c r="CP74" s="110"/>
      <c r="CQ74" s="111"/>
      <c r="CR74" s="110"/>
      <c r="CS74" s="111"/>
      <c r="CT74" s="112">
        <f t="shared" si="19"/>
        <v>0</v>
      </c>
      <c r="CU74" s="113"/>
      <c r="CV74" s="114"/>
      <c r="CW74" s="115"/>
      <c r="CX74" s="116"/>
      <c r="CY74" s="117"/>
      <c r="CZ74" s="116"/>
      <c r="DA74" s="113"/>
      <c r="DB74" s="114"/>
      <c r="DC74" s="64"/>
      <c r="DD74" s="118"/>
    </row>
    <row r="75" spans="1:108" ht="24" outlineLevel="2">
      <c r="A75" s="178">
        <v>40455</v>
      </c>
      <c r="B75" s="164" t="s">
        <v>1233</v>
      </c>
      <c r="C75" s="164" t="s">
        <v>868</v>
      </c>
      <c r="D75" s="165" t="s">
        <v>1182</v>
      </c>
      <c r="E75" s="163"/>
      <c r="F75" s="105"/>
      <c r="G75" s="105"/>
      <c r="H75" s="105">
        <v>10</v>
      </c>
      <c r="I75" s="105">
        <v>2</v>
      </c>
      <c r="J75" s="105">
        <v>2</v>
      </c>
      <c r="K75" s="105"/>
      <c r="L75" s="105"/>
      <c r="M75" s="105"/>
      <c r="N75" s="105"/>
      <c r="O75" s="105"/>
      <c r="P75" s="105"/>
      <c r="Q75" s="105"/>
      <c r="R75" s="105"/>
      <c r="S75" s="105"/>
      <c r="T75" s="106"/>
      <c r="U75" s="130"/>
      <c r="V75" s="1"/>
      <c r="W75" s="68">
        <f t="shared" si="15"/>
        <v>0</v>
      </c>
      <c r="X75" s="68">
        <f t="shared" si="16"/>
        <v>0</v>
      </c>
      <c r="Y75" s="68">
        <f t="shared" si="17"/>
        <v>0</v>
      </c>
      <c r="Z75" s="68">
        <f t="shared" si="18"/>
        <v>0</v>
      </c>
      <c r="AA75" s="68"/>
      <c r="AB75" s="68">
        <v>0</v>
      </c>
      <c r="AC75" s="69">
        <f t="shared" si="14"/>
        <v>0</v>
      </c>
      <c r="AD75" s="70">
        <v>0</v>
      </c>
      <c r="AE75" s="63">
        <v>40455</v>
      </c>
      <c r="AF75" s="72"/>
      <c r="AG75" s="63" t="s">
        <v>938</v>
      </c>
      <c r="AH75" s="23" t="s">
        <v>939</v>
      </c>
      <c r="AI75" s="60"/>
      <c r="AJ75" s="124" t="s">
        <v>1608</v>
      </c>
      <c r="AK75" s="121" t="s">
        <v>782</v>
      </c>
      <c r="AL75" s="107"/>
      <c r="AM75" s="108"/>
      <c r="AN75" s="109"/>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10"/>
      <c r="CO75" s="111"/>
      <c r="CP75" s="110"/>
      <c r="CQ75" s="111"/>
      <c r="CR75" s="110"/>
      <c r="CS75" s="111"/>
      <c r="CT75" s="112">
        <f t="shared" si="19"/>
        <v>0</v>
      </c>
      <c r="CU75" s="113"/>
      <c r="CV75" s="114"/>
      <c r="CW75" s="115"/>
      <c r="CX75" s="116"/>
      <c r="CY75" s="117"/>
      <c r="CZ75" s="116"/>
      <c r="DA75" s="113"/>
      <c r="DB75" s="114"/>
      <c r="DC75" s="64"/>
      <c r="DD75" s="118"/>
    </row>
    <row r="76" spans="1:108" ht="24" outlineLevel="2">
      <c r="A76" s="178">
        <v>40457</v>
      </c>
      <c r="B76" s="164" t="s">
        <v>1233</v>
      </c>
      <c r="C76" s="164" t="s">
        <v>1580</v>
      </c>
      <c r="D76" s="165" t="s">
        <v>1182</v>
      </c>
      <c r="E76" s="163"/>
      <c r="F76" s="105"/>
      <c r="G76" s="105"/>
      <c r="H76" s="105"/>
      <c r="I76" s="105"/>
      <c r="J76" s="105"/>
      <c r="K76" s="105"/>
      <c r="L76" s="105">
        <v>1</v>
      </c>
      <c r="M76" s="105"/>
      <c r="N76" s="105"/>
      <c r="O76" s="105"/>
      <c r="P76" s="105"/>
      <c r="Q76" s="105"/>
      <c r="R76" s="105"/>
      <c r="S76" s="105"/>
      <c r="T76" s="106"/>
      <c r="U76" s="130"/>
      <c r="V76" s="1"/>
      <c r="W76" s="68">
        <f t="shared" si="15"/>
        <v>0</v>
      </c>
      <c r="X76" s="68">
        <f t="shared" si="16"/>
        <v>0</v>
      </c>
      <c r="Y76" s="68">
        <f t="shared" si="17"/>
        <v>0</v>
      </c>
      <c r="Z76" s="68">
        <f t="shared" si="18"/>
        <v>0</v>
      </c>
      <c r="AA76" s="68"/>
      <c r="AB76" s="68">
        <v>0</v>
      </c>
      <c r="AC76" s="69">
        <f t="shared" si="14"/>
        <v>0</v>
      </c>
      <c r="AD76" s="70">
        <v>0</v>
      </c>
      <c r="AE76" s="63">
        <v>40458</v>
      </c>
      <c r="AF76" s="72"/>
      <c r="AG76" s="63" t="s">
        <v>938</v>
      </c>
      <c r="AH76" s="23" t="s">
        <v>939</v>
      </c>
      <c r="AI76" s="60"/>
      <c r="AJ76" s="124" t="s">
        <v>1608</v>
      </c>
      <c r="AK76" s="121" t="s">
        <v>208</v>
      </c>
      <c r="AL76" s="107"/>
      <c r="AM76" s="108"/>
      <c r="AN76" s="109"/>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10"/>
      <c r="CO76" s="111"/>
      <c r="CP76" s="110"/>
      <c r="CQ76" s="111"/>
      <c r="CR76" s="110"/>
      <c r="CS76" s="111"/>
      <c r="CT76" s="112">
        <f t="shared" si="19"/>
        <v>0</v>
      </c>
      <c r="CU76" s="113"/>
      <c r="CV76" s="114"/>
      <c r="CW76" s="115"/>
      <c r="CX76" s="116"/>
      <c r="CY76" s="117"/>
      <c r="CZ76" s="116"/>
      <c r="DA76" s="113"/>
      <c r="DB76" s="114"/>
      <c r="DC76" s="64"/>
      <c r="DD76" s="118"/>
    </row>
    <row r="77" spans="1:108" ht="24" outlineLevel="2">
      <c r="A77" s="178">
        <v>40459</v>
      </c>
      <c r="B77" s="164" t="s">
        <v>1233</v>
      </c>
      <c r="C77" s="164" t="s">
        <v>225</v>
      </c>
      <c r="D77" s="166" t="s">
        <v>1262</v>
      </c>
      <c r="E77" s="163"/>
      <c r="F77" s="105"/>
      <c r="G77" s="105"/>
      <c r="H77" s="105">
        <v>100</v>
      </c>
      <c r="I77" s="105">
        <v>20</v>
      </c>
      <c r="J77" s="105"/>
      <c r="K77" s="105">
        <v>20</v>
      </c>
      <c r="L77" s="105"/>
      <c r="M77" s="105"/>
      <c r="N77" s="105"/>
      <c r="O77" s="105"/>
      <c r="P77" s="105"/>
      <c r="Q77" s="105"/>
      <c r="R77" s="105"/>
      <c r="S77" s="105"/>
      <c r="T77" s="106"/>
      <c r="U77" s="130" t="s">
        <v>227</v>
      </c>
      <c r="V77" s="1"/>
      <c r="W77" s="68">
        <f t="shared" si="15"/>
        <v>0</v>
      </c>
      <c r="X77" s="68">
        <f t="shared" si="16"/>
        <v>0</v>
      </c>
      <c r="Y77" s="68">
        <f t="shared" si="17"/>
        <v>0</v>
      </c>
      <c r="Z77" s="68">
        <f t="shared" si="18"/>
        <v>0</v>
      </c>
      <c r="AA77" s="68"/>
      <c r="AB77" s="68">
        <v>0</v>
      </c>
      <c r="AC77" s="69">
        <f t="shared" si="14"/>
        <v>0</v>
      </c>
      <c r="AD77" s="70">
        <v>0</v>
      </c>
      <c r="AE77" s="63">
        <v>40462</v>
      </c>
      <c r="AF77" s="72"/>
      <c r="AG77" s="63" t="s">
        <v>938</v>
      </c>
      <c r="AH77" s="23" t="s">
        <v>939</v>
      </c>
      <c r="AI77" s="60"/>
      <c r="AJ77" s="124" t="s">
        <v>1608</v>
      </c>
      <c r="AK77" s="121" t="s">
        <v>226</v>
      </c>
      <c r="AL77" s="107"/>
      <c r="AM77" s="108"/>
      <c r="AN77" s="109"/>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10"/>
      <c r="CO77" s="111"/>
      <c r="CP77" s="110"/>
      <c r="CQ77" s="111"/>
      <c r="CR77" s="110"/>
      <c r="CS77" s="111"/>
      <c r="CT77" s="112">
        <f t="shared" si="19"/>
        <v>0</v>
      </c>
      <c r="CU77" s="113"/>
      <c r="CV77" s="114"/>
      <c r="CW77" s="115"/>
      <c r="CX77" s="116"/>
      <c r="CY77" s="117"/>
      <c r="CZ77" s="116"/>
      <c r="DA77" s="113"/>
      <c r="DB77" s="114"/>
      <c r="DC77" s="64"/>
      <c r="DD77" s="118"/>
    </row>
    <row r="78" spans="1:108" ht="24" outlineLevel="2">
      <c r="A78" s="178">
        <v>40459</v>
      </c>
      <c r="B78" s="164" t="s">
        <v>1233</v>
      </c>
      <c r="C78" s="164" t="s">
        <v>1137</v>
      </c>
      <c r="D78" s="166" t="s">
        <v>1262</v>
      </c>
      <c r="E78" s="163"/>
      <c r="F78" s="105"/>
      <c r="G78" s="105"/>
      <c r="H78" s="105">
        <v>85</v>
      </c>
      <c r="I78" s="105">
        <v>17</v>
      </c>
      <c r="J78" s="105"/>
      <c r="K78" s="105">
        <v>17</v>
      </c>
      <c r="L78" s="105"/>
      <c r="M78" s="105"/>
      <c r="N78" s="105"/>
      <c r="O78" s="105"/>
      <c r="P78" s="105"/>
      <c r="Q78" s="105"/>
      <c r="R78" s="105"/>
      <c r="S78" s="105"/>
      <c r="T78" s="106"/>
      <c r="U78" s="130"/>
      <c r="V78" s="1"/>
      <c r="W78" s="68">
        <f t="shared" si="15"/>
        <v>0</v>
      </c>
      <c r="X78" s="68">
        <f t="shared" si="16"/>
        <v>0</v>
      </c>
      <c r="Y78" s="68">
        <f t="shared" si="17"/>
        <v>0</v>
      </c>
      <c r="Z78" s="68">
        <f t="shared" si="18"/>
        <v>0</v>
      </c>
      <c r="AA78" s="68"/>
      <c r="AB78" s="68">
        <v>0</v>
      </c>
      <c r="AC78" s="69">
        <f t="shared" si="14"/>
        <v>0</v>
      </c>
      <c r="AD78" s="70">
        <v>0</v>
      </c>
      <c r="AE78" s="63">
        <v>40462</v>
      </c>
      <c r="AF78" s="72"/>
      <c r="AG78" s="63" t="s">
        <v>938</v>
      </c>
      <c r="AH78" s="23" t="s">
        <v>939</v>
      </c>
      <c r="AI78" s="60"/>
      <c r="AJ78" s="124" t="s">
        <v>1608</v>
      </c>
      <c r="AK78" s="121" t="s">
        <v>228</v>
      </c>
      <c r="AL78" s="107"/>
      <c r="AM78" s="108"/>
      <c r="AN78" s="109"/>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10"/>
      <c r="CO78" s="111"/>
      <c r="CP78" s="110"/>
      <c r="CQ78" s="111"/>
      <c r="CR78" s="110"/>
      <c r="CS78" s="111"/>
      <c r="CT78" s="112">
        <f t="shared" si="19"/>
        <v>0</v>
      </c>
      <c r="CU78" s="113"/>
      <c r="CV78" s="114"/>
      <c r="CW78" s="115"/>
      <c r="CX78" s="116"/>
      <c r="CY78" s="117"/>
      <c r="CZ78" s="116"/>
      <c r="DA78" s="113"/>
      <c r="DB78" s="114"/>
      <c r="DC78" s="64"/>
      <c r="DD78" s="118"/>
    </row>
    <row r="79" spans="1:108" ht="24" outlineLevel="2">
      <c r="A79" s="178">
        <v>40461</v>
      </c>
      <c r="B79" s="164" t="s">
        <v>1233</v>
      </c>
      <c r="C79" s="164" t="s">
        <v>1952</v>
      </c>
      <c r="D79" s="165" t="s">
        <v>1182</v>
      </c>
      <c r="E79" s="163"/>
      <c r="F79" s="105"/>
      <c r="G79" s="105"/>
      <c r="H79" s="105">
        <v>50</v>
      </c>
      <c r="I79" s="105">
        <v>10</v>
      </c>
      <c r="J79" s="105"/>
      <c r="K79" s="105">
        <v>10</v>
      </c>
      <c r="L79" s="105"/>
      <c r="M79" s="105"/>
      <c r="N79" s="105"/>
      <c r="O79" s="105"/>
      <c r="P79" s="105"/>
      <c r="Q79" s="105"/>
      <c r="R79" s="105"/>
      <c r="S79" s="105"/>
      <c r="T79" s="106"/>
      <c r="U79" s="130"/>
      <c r="V79" s="1"/>
      <c r="W79" s="68">
        <f t="shared" si="15"/>
        <v>0</v>
      </c>
      <c r="X79" s="68">
        <f t="shared" si="16"/>
        <v>0</v>
      </c>
      <c r="Y79" s="68">
        <f t="shared" si="17"/>
        <v>0</v>
      </c>
      <c r="Z79" s="68">
        <f t="shared" si="18"/>
        <v>0</v>
      </c>
      <c r="AA79" s="68"/>
      <c r="AB79" s="68">
        <v>0</v>
      </c>
      <c r="AC79" s="69">
        <f t="shared" si="14"/>
        <v>0</v>
      </c>
      <c r="AD79" s="70">
        <v>0</v>
      </c>
      <c r="AE79" s="63">
        <v>40465</v>
      </c>
      <c r="AF79" s="72"/>
      <c r="AG79" s="63" t="s">
        <v>938</v>
      </c>
      <c r="AH79" s="23" t="s">
        <v>939</v>
      </c>
      <c r="AI79" s="60"/>
      <c r="AJ79" s="124" t="s">
        <v>1608</v>
      </c>
      <c r="AK79" s="121" t="s">
        <v>821</v>
      </c>
      <c r="AL79" s="107"/>
      <c r="AM79" s="108"/>
      <c r="AN79" s="109"/>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10"/>
      <c r="CO79" s="111"/>
      <c r="CP79" s="110"/>
      <c r="CQ79" s="111"/>
      <c r="CR79" s="110"/>
      <c r="CS79" s="111"/>
      <c r="CT79" s="112">
        <f t="shared" si="19"/>
        <v>0</v>
      </c>
      <c r="CU79" s="113"/>
      <c r="CV79" s="114"/>
      <c r="CW79" s="115"/>
      <c r="CX79" s="116"/>
      <c r="CY79" s="117"/>
      <c r="CZ79" s="116"/>
      <c r="DA79" s="113"/>
      <c r="DB79" s="114"/>
      <c r="DC79" s="64"/>
      <c r="DD79" s="118"/>
    </row>
    <row r="80" spans="1:108" ht="24" outlineLevel="2">
      <c r="A80" s="178">
        <v>40470</v>
      </c>
      <c r="B80" s="164" t="s">
        <v>1233</v>
      </c>
      <c r="C80" s="164" t="s">
        <v>2321</v>
      </c>
      <c r="D80" s="166" t="s">
        <v>435</v>
      </c>
      <c r="E80" s="163"/>
      <c r="F80" s="105"/>
      <c r="G80" s="105"/>
      <c r="H80" s="105">
        <v>57</v>
      </c>
      <c r="I80" s="105">
        <v>15</v>
      </c>
      <c r="J80" s="105"/>
      <c r="K80" s="105">
        <v>15</v>
      </c>
      <c r="L80" s="105"/>
      <c r="M80" s="105"/>
      <c r="N80" s="105"/>
      <c r="O80" s="105"/>
      <c r="P80" s="105"/>
      <c r="Q80" s="105"/>
      <c r="R80" s="105"/>
      <c r="S80" s="105"/>
      <c r="T80" s="106"/>
      <c r="U80" s="130"/>
      <c r="V80" s="1"/>
      <c r="W80" s="68">
        <f t="shared" si="15"/>
        <v>0</v>
      </c>
      <c r="X80" s="68">
        <f t="shared" si="16"/>
        <v>0</v>
      </c>
      <c r="Y80" s="68">
        <f t="shared" si="17"/>
        <v>0</v>
      </c>
      <c r="Z80" s="68">
        <f t="shared" si="18"/>
        <v>0</v>
      </c>
      <c r="AA80" s="68"/>
      <c r="AB80" s="68">
        <v>0</v>
      </c>
      <c r="AC80" s="69">
        <f t="shared" si="14"/>
        <v>0</v>
      </c>
      <c r="AD80" s="70">
        <v>0</v>
      </c>
      <c r="AE80" s="63">
        <v>40471</v>
      </c>
      <c r="AF80" s="72"/>
      <c r="AG80" s="63" t="s">
        <v>938</v>
      </c>
      <c r="AH80" s="23" t="s">
        <v>939</v>
      </c>
      <c r="AI80" s="60"/>
      <c r="AJ80" s="124" t="s">
        <v>1608</v>
      </c>
      <c r="AK80" s="121" t="s">
        <v>2322</v>
      </c>
      <c r="AL80" s="107"/>
      <c r="AM80" s="108"/>
      <c r="AN80" s="109"/>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10"/>
      <c r="CO80" s="111"/>
      <c r="CP80" s="110"/>
      <c r="CQ80" s="111"/>
      <c r="CR80" s="110"/>
      <c r="CS80" s="111"/>
      <c r="CT80" s="112">
        <f t="shared" si="19"/>
        <v>0</v>
      </c>
      <c r="CU80" s="113"/>
      <c r="CV80" s="114"/>
      <c r="CW80" s="115"/>
      <c r="CX80" s="116"/>
      <c r="CY80" s="117"/>
      <c r="CZ80" s="116"/>
      <c r="DA80" s="113"/>
      <c r="DB80" s="114"/>
      <c r="DC80" s="64"/>
      <c r="DD80" s="118"/>
    </row>
    <row r="81" spans="1:108" ht="24" outlineLevel="2">
      <c r="A81" s="178">
        <v>40474</v>
      </c>
      <c r="B81" s="164" t="s">
        <v>1233</v>
      </c>
      <c r="C81" s="164" t="s">
        <v>1160</v>
      </c>
      <c r="D81" s="166" t="s">
        <v>1262</v>
      </c>
      <c r="E81" s="163">
        <v>2</v>
      </c>
      <c r="F81" s="105">
        <v>1</v>
      </c>
      <c r="G81" s="105"/>
      <c r="H81" s="105">
        <v>60</v>
      </c>
      <c r="I81" s="105">
        <v>13</v>
      </c>
      <c r="J81" s="105"/>
      <c r="K81" s="105">
        <v>13</v>
      </c>
      <c r="L81" s="105"/>
      <c r="M81" s="105"/>
      <c r="N81" s="105"/>
      <c r="O81" s="105"/>
      <c r="P81" s="105"/>
      <c r="Q81" s="105"/>
      <c r="R81" s="105"/>
      <c r="S81" s="105"/>
      <c r="T81" s="106"/>
      <c r="U81" s="130"/>
      <c r="V81" s="1"/>
      <c r="W81" s="68">
        <f t="shared" si="15"/>
        <v>0</v>
      </c>
      <c r="X81" s="68">
        <f t="shared" si="16"/>
        <v>0</v>
      </c>
      <c r="Y81" s="68">
        <f t="shared" si="17"/>
        <v>0</v>
      </c>
      <c r="Z81" s="68">
        <f t="shared" si="18"/>
        <v>0</v>
      </c>
      <c r="AA81" s="68"/>
      <c r="AB81" s="68">
        <v>0</v>
      </c>
      <c r="AC81" s="69">
        <f t="shared" si="14"/>
        <v>0</v>
      </c>
      <c r="AD81" s="70">
        <v>0</v>
      </c>
      <c r="AE81" s="63">
        <v>40476</v>
      </c>
      <c r="AF81" s="72"/>
      <c r="AG81" s="63" t="s">
        <v>938</v>
      </c>
      <c r="AH81" s="23" t="s">
        <v>939</v>
      </c>
      <c r="AI81" s="60"/>
      <c r="AJ81" s="124" t="s">
        <v>1608</v>
      </c>
      <c r="AK81" s="121" t="s">
        <v>1795</v>
      </c>
      <c r="AL81" s="107"/>
      <c r="AM81" s="108"/>
      <c r="AN81" s="109"/>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10"/>
      <c r="CO81" s="111"/>
      <c r="CP81" s="110"/>
      <c r="CQ81" s="111"/>
      <c r="CR81" s="110"/>
      <c r="CS81" s="111"/>
      <c r="CT81" s="112">
        <f t="shared" si="19"/>
        <v>0</v>
      </c>
      <c r="CU81" s="113"/>
      <c r="CV81" s="114"/>
      <c r="CW81" s="115"/>
      <c r="CX81" s="116"/>
      <c r="CY81" s="117"/>
      <c r="CZ81" s="116"/>
      <c r="DA81" s="113"/>
      <c r="DB81" s="114"/>
      <c r="DC81" s="64"/>
      <c r="DD81" s="118"/>
    </row>
    <row r="82" spans="1:108" ht="24" outlineLevel="2">
      <c r="A82" s="178">
        <v>40479</v>
      </c>
      <c r="B82" s="164" t="s">
        <v>1233</v>
      </c>
      <c r="C82" s="164" t="s">
        <v>1962</v>
      </c>
      <c r="D82" s="165" t="s">
        <v>1182</v>
      </c>
      <c r="E82" s="163"/>
      <c r="F82" s="105"/>
      <c r="G82" s="105"/>
      <c r="H82" s="105">
        <v>30</v>
      </c>
      <c r="I82" s="105">
        <v>6</v>
      </c>
      <c r="J82" s="105">
        <v>1</v>
      </c>
      <c r="K82" s="105">
        <v>5</v>
      </c>
      <c r="L82" s="105"/>
      <c r="M82" s="105"/>
      <c r="N82" s="105"/>
      <c r="O82" s="105"/>
      <c r="P82" s="105"/>
      <c r="Q82" s="105"/>
      <c r="R82" s="105"/>
      <c r="S82" s="105"/>
      <c r="T82" s="106"/>
      <c r="U82" s="130"/>
      <c r="V82" s="1"/>
      <c r="W82" s="68">
        <f t="shared" si="15"/>
        <v>0</v>
      </c>
      <c r="X82" s="68">
        <f t="shared" si="16"/>
        <v>0</v>
      </c>
      <c r="Y82" s="68">
        <f t="shared" si="17"/>
        <v>0</v>
      </c>
      <c r="Z82" s="68">
        <f t="shared" si="18"/>
        <v>0</v>
      </c>
      <c r="AA82" s="68"/>
      <c r="AB82" s="68">
        <v>0</v>
      </c>
      <c r="AC82" s="69">
        <f t="shared" si="14"/>
        <v>0</v>
      </c>
      <c r="AD82" s="70">
        <v>0</v>
      </c>
      <c r="AE82" s="63">
        <v>40482</v>
      </c>
      <c r="AF82" s="72"/>
      <c r="AG82" s="63" t="s">
        <v>938</v>
      </c>
      <c r="AH82" s="23" t="s">
        <v>939</v>
      </c>
      <c r="AI82" s="60"/>
      <c r="AJ82" s="124" t="s">
        <v>1608</v>
      </c>
      <c r="AK82" s="121" t="s">
        <v>2355</v>
      </c>
      <c r="AL82" s="107"/>
      <c r="AM82" s="108"/>
      <c r="AN82" s="109"/>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10"/>
      <c r="CO82" s="111"/>
      <c r="CP82" s="110"/>
      <c r="CQ82" s="111"/>
      <c r="CR82" s="110"/>
      <c r="CS82" s="111"/>
      <c r="CT82" s="112">
        <f t="shared" si="19"/>
        <v>0</v>
      </c>
      <c r="CU82" s="113"/>
      <c r="CV82" s="114"/>
      <c r="CW82" s="115"/>
      <c r="CX82" s="116"/>
      <c r="CY82" s="117"/>
      <c r="CZ82" s="116"/>
      <c r="DA82" s="113"/>
      <c r="DB82" s="114"/>
      <c r="DC82" s="64"/>
      <c r="DD82" s="118"/>
    </row>
    <row r="83" spans="1:108" ht="24" outlineLevel="2">
      <c r="A83" s="178">
        <v>40479</v>
      </c>
      <c r="B83" s="164" t="s">
        <v>1233</v>
      </c>
      <c r="C83" s="164" t="s">
        <v>1144</v>
      </c>
      <c r="D83" s="165" t="s">
        <v>1182</v>
      </c>
      <c r="E83" s="163">
        <v>1</v>
      </c>
      <c r="F83" s="105"/>
      <c r="G83" s="105"/>
      <c r="H83" s="105">
        <v>25</v>
      </c>
      <c r="I83" s="105">
        <v>5</v>
      </c>
      <c r="J83" s="105"/>
      <c r="K83" s="105">
        <v>5</v>
      </c>
      <c r="L83" s="105"/>
      <c r="M83" s="105"/>
      <c r="N83" s="105"/>
      <c r="O83" s="105"/>
      <c r="P83" s="105"/>
      <c r="Q83" s="105"/>
      <c r="R83" s="105"/>
      <c r="S83" s="105"/>
      <c r="T83" s="106"/>
      <c r="U83" s="130"/>
      <c r="V83" s="1"/>
      <c r="W83" s="68">
        <f t="shared" si="15"/>
        <v>0</v>
      </c>
      <c r="X83" s="68">
        <f t="shared" si="16"/>
        <v>0</v>
      </c>
      <c r="Y83" s="68">
        <f t="shared" si="17"/>
        <v>0</v>
      </c>
      <c r="Z83" s="68">
        <f t="shared" si="18"/>
        <v>0</v>
      </c>
      <c r="AA83" s="68"/>
      <c r="AB83" s="68">
        <v>0</v>
      </c>
      <c r="AC83" s="69">
        <f t="shared" si="14"/>
        <v>0</v>
      </c>
      <c r="AD83" s="70">
        <v>0</v>
      </c>
      <c r="AE83" s="63">
        <v>40482</v>
      </c>
      <c r="AF83" s="72"/>
      <c r="AG83" s="63" t="s">
        <v>938</v>
      </c>
      <c r="AH83" s="23" t="s">
        <v>939</v>
      </c>
      <c r="AI83" s="60"/>
      <c r="AJ83" s="124" t="s">
        <v>1608</v>
      </c>
      <c r="AK83" s="121" t="s">
        <v>2357</v>
      </c>
      <c r="AL83" s="107"/>
      <c r="AM83" s="108"/>
      <c r="AN83" s="109"/>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10"/>
      <c r="CO83" s="111"/>
      <c r="CP83" s="110"/>
      <c r="CQ83" s="111"/>
      <c r="CR83" s="110"/>
      <c r="CS83" s="111"/>
      <c r="CT83" s="112">
        <f t="shared" si="19"/>
        <v>0</v>
      </c>
      <c r="CU83" s="113"/>
      <c r="CV83" s="114"/>
      <c r="CW83" s="115"/>
      <c r="CX83" s="116"/>
      <c r="CY83" s="117"/>
      <c r="CZ83" s="116"/>
      <c r="DA83" s="113"/>
      <c r="DB83" s="114"/>
      <c r="DC83" s="64"/>
      <c r="DD83" s="118"/>
    </row>
    <row r="84" spans="1:108" ht="24" outlineLevel="2">
      <c r="A84" s="178">
        <v>40479</v>
      </c>
      <c r="B84" s="164" t="s">
        <v>1233</v>
      </c>
      <c r="C84" s="164" t="s">
        <v>1607</v>
      </c>
      <c r="D84" s="166" t="s">
        <v>1262</v>
      </c>
      <c r="E84" s="163"/>
      <c r="F84" s="105"/>
      <c r="G84" s="105"/>
      <c r="H84" s="105">
        <v>2520</v>
      </c>
      <c r="I84" s="105">
        <v>504</v>
      </c>
      <c r="J84" s="105">
        <v>4</v>
      </c>
      <c r="K84" s="105">
        <v>500</v>
      </c>
      <c r="L84" s="105"/>
      <c r="M84" s="105"/>
      <c r="N84" s="105"/>
      <c r="O84" s="105"/>
      <c r="P84" s="105"/>
      <c r="Q84" s="105"/>
      <c r="R84" s="105"/>
      <c r="S84" s="105"/>
      <c r="T84" s="106"/>
      <c r="U84" s="130"/>
      <c r="V84" s="1"/>
      <c r="W84" s="68">
        <f t="shared" si="15"/>
        <v>0</v>
      </c>
      <c r="X84" s="68">
        <f t="shared" si="16"/>
        <v>0</v>
      </c>
      <c r="Y84" s="68">
        <f t="shared" si="17"/>
        <v>0</v>
      </c>
      <c r="Z84" s="68">
        <f t="shared" si="18"/>
        <v>0</v>
      </c>
      <c r="AA84" s="68"/>
      <c r="AB84" s="68">
        <v>0</v>
      </c>
      <c r="AC84" s="69">
        <f t="shared" si="14"/>
        <v>0</v>
      </c>
      <c r="AD84" s="70">
        <v>0</v>
      </c>
      <c r="AE84" s="63">
        <v>40482</v>
      </c>
      <c r="AF84" s="72"/>
      <c r="AG84" s="63" t="s">
        <v>938</v>
      </c>
      <c r="AH84" s="23" t="s">
        <v>939</v>
      </c>
      <c r="AI84" s="60"/>
      <c r="AJ84" s="124" t="s">
        <v>1608</v>
      </c>
      <c r="AK84" s="121" t="s">
        <v>2356</v>
      </c>
      <c r="AL84" s="107"/>
      <c r="AM84" s="108"/>
      <c r="AN84" s="109"/>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10"/>
      <c r="CO84" s="111"/>
      <c r="CP84" s="110"/>
      <c r="CQ84" s="111"/>
      <c r="CR84" s="110"/>
      <c r="CS84" s="111"/>
      <c r="CT84" s="112">
        <f t="shared" si="19"/>
        <v>0</v>
      </c>
      <c r="CU84" s="113"/>
      <c r="CV84" s="114"/>
      <c r="CW84" s="115"/>
      <c r="CX84" s="116"/>
      <c r="CY84" s="117"/>
      <c r="CZ84" s="116"/>
      <c r="DA84" s="113"/>
      <c r="DB84" s="114"/>
      <c r="DC84" s="64"/>
      <c r="DD84" s="118"/>
    </row>
    <row r="85" spans="1:108" ht="36" outlineLevel="2">
      <c r="A85" s="178">
        <v>40479</v>
      </c>
      <c r="B85" s="164" t="s">
        <v>1233</v>
      </c>
      <c r="C85" s="164" t="s">
        <v>1908</v>
      </c>
      <c r="D85" s="166" t="s">
        <v>1262</v>
      </c>
      <c r="E85" s="163"/>
      <c r="F85" s="105"/>
      <c r="G85" s="105"/>
      <c r="H85" s="105">
        <v>1000</v>
      </c>
      <c r="I85" s="105">
        <v>200</v>
      </c>
      <c r="J85" s="105"/>
      <c r="K85" s="105">
        <v>200</v>
      </c>
      <c r="L85" s="105"/>
      <c r="M85" s="105"/>
      <c r="N85" s="105"/>
      <c r="O85" s="105"/>
      <c r="P85" s="105"/>
      <c r="Q85" s="105"/>
      <c r="R85" s="105"/>
      <c r="S85" s="105"/>
      <c r="T85" s="106"/>
      <c r="U85" s="130"/>
      <c r="V85" s="1"/>
      <c r="W85" s="68">
        <f t="shared" si="15"/>
        <v>0</v>
      </c>
      <c r="X85" s="68">
        <f t="shared" si="16"/>
        <v>0</v>
      </c>
      <c r="Y85" s="68">
        <f t="shared" si="17"/>
        <v>0</v>
      </c>
      <c r="Z85" s="68">
        <f t="shared" si="18"/>
        <v>0</v>
      </c>
      <c r="AA85" s="68"/>
      <c r="AB85" s="68">
        <v>0</v>
      </c>
      <c r="AC85" s="69">
        <f t="shared" si="14"/>
        <v>0</v>
      </c>
      <c r="AD85" s="70">
        <v>0</v>
      </c>
      <c r="AE85" s="63">
        <v>40482</v>
      </c>
      <c r="AF85" s="72"/>
      <c r="AG85" s="63" t="s">
        <v>938</v>
      </c>
      <c r="AH85" s="23" t="s">
        <v>939</v>
      </c>
      <c r="AI85" s="60"/>
      <c r="AJ85" s="124" t="s">
        <v>1608</v>
      </c>
      <c r="AK85" s="121" t="s">
        <v>2358</v>
      </c>
      <c r="AL85" s="107"/>
      <c r="AM85" s="108"/>
      <c r="AN85" s="109"/>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10"/>
      <c r="CO85" s="111"/>
      <c r="CP85" s="110"/>
      <c r="CQ85" s="111"/>
      <c r="CR85" s="110"/>
      <c r="CS85" s="111"/>
      <c r="CT85" s="112">
        <f t="shared" si="19"/>
        <v>0</v>
      </c>
      <c r="CU85" s="113"/>
      <c r="CV85" s="114"/>
      <c r="CW85" s="115"/>
      <c r="CX85" s="116"/>
      <c r="CY85" s="117"/>
      <c r="CZ85" s="116"/>
      <c r="DA85" s="113"/>
      <c r="DB85" s="114"/>
      <c r="DC85" s="64"/>
      <c r="DD85" s="118"/>
    </row>
    <row r="86" spans="1:108" ht="24" outlineLevel="2">
      <c r="A86" s="178">
        <v>40483</v>
      </c>
      <c r="B86" s="164" t="s">
        <v>1233</v>
      </c>
      <c r="C86" s="164" t="s">
        <v>1859</v>
      </c>
      <c r="D86" s="166" t="s">
        <v>1262</v>
      </c>
      <c r="E86" s="163"/>
      <c r="F86" s="105"/>
      <c r="G86" s="105"/>
      <c r="H86" s="105">
        <v>100</v>
      </c>
      <c r="I86" s="105">
        <v>20</v>
      </c>
      <c r="J86" s="105"/>
      <c r="K86" s="105">
        <v>20</v>
      </c>
      <c r="L86" s="105"/>
      <c r="M86" s="105"/>
      <c r="N86" s="105"/>
      <c r="O86" s="105"/>
      <c r="P86" s="105"/>
      <c r="Q86" s="105"/>
      <c r="R86" s="105"/>
      <c r="S86" s="105"/>
      <c r="T86" s="106"/>
      <c r="U86" s="130"/>
      <c r="V86" s="1"/>
      <c r="W86" s="68">
        <f t="shared" si="15"/>
        <v>0</v>
      </c>
      <c r="X86" s="68">
        <f t="shared" si="16"/>
        <v>0</v>
      </c>
      <c r="Y86" s="68">
        <f t="shared" si="17"/>
        <v>0</v>
      </c>
      <c r="Z86" s="68">
        <f t="shared" si="18"/>
        <v>0</v>
      </c>
      <c r="AA86" s="68"/>
      <c r="AB86" s="68">
        <v>0</v>
      </c>
      <c r="AC86" s="69">
        <f t="shared" si="14"/>
        <v>0</v>
      </c>
      <c r="AD86" s="70">
        <v>0</v>
      </c>
      <c r="AE86" s="63">
        <v>40484</v>
      </c>
      <c r="AF86" s="72"/>
      <c r="AG86" s="63" t="s">
        <v>938</v>
      </c>
      <c r="AH86" s="23" t="s">
        <v>939</v>
      </c>
      <c r="AI86" s="83"/>
      <c r="AJ86" s="124" t="s">
        <v>1608</v>
      </c>
      <c r="AK86" s="121" t="s">
        <v>1029</v>
      </c>
      <c r="AL86" s="107"/>
      <c r="AM86" s="108"/>
      <c r="AN86" s="109"/>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10"/>
      <c r="CO86" s="111"/>
      <c r="CP86" s="110"/>
      <c r="CQ86" s="111"/>
      <c r="CR86" s="110"/>
      <c r="CS86" s="111"/>
      <c r="CT86" s="112">
        <f t="shared" si="19"/>
        <v>0</v>
      </c>
      <c r="CU86" s="113"/>
      <c r="CV86" s="114"/>
      <c r="CW86" s="115"/>
      <c r="CX86" s="116"/>
      <c r="CY86" s="117"/>
      <c r="CZ86" s="116"/>
      <c r="DA86" s="113"/>
      <c r="DB86" s="114"/>
      <c r="DC86" s="64"/>
      <c r="DD86" s="118"/>
    </row>
    <row r="87" spans="1:108" ht="24" outlineLevel="2">
      <c r="A87" s="178">
        <v>40483</v>
      </c>
      <c r="B87" s="164" t="s">
        <v>1233</v>
      </c>
      <c r="C87" s="164" t="s">
        <v>1027</v>
      </c>
      <c r="D87" s="166" t="s">
        <v>1262</v>
      </c>
      <c r="E87" s="163"/>
      <c r="F87" s="105"/>
      <c r="G87" s="105"/>
      <c r="H87" s="105">
        <v>1000</v>
      </c>
      <c r="I87" s="105">
        <v>200</v>
      </c>
      <c r="J87" s="105"/>
      <c r="K87" s="105">
        <v>200</v>
      </c>
      <c r="L87" s="105"/>
      <c r="M87" s="105"/>
      <c r="N87" s="105"/>
      <c r="O87" s="105"/>
      <c r="P87" s="105"/>
      <c r="Q87" s="105"/>
      <c r="R87" s="105"/>
      <c r="S87" s="105"/>
      <c r="T87" s="106"/>
      <c r="U87" s="130"/>
      <c r="V87" s="1"/>
      <c r="W87" s="68">
        <f t="shared" si="15"/>
        <v>0</v>
      </c>
      <c r="X87" s="68">
        <f t="shared" si="16"/>
        <v>0</v>
      </c>
      <c r="Y87" s="68">
        <f t="shared" si="17"/>
        <v>0</v>
      </c>
      <c r="Z87" s="68">
        <f t="shared" si="18"/>
        <v>0</v>
      </c>
      <c r="AA87" s="68"/>
      <c r="AB87" s="68">
        <v>0</v>
      </c>
      <c r="AC87" s="69">
        <f t="shared" ref="AC87:AC118" si="20">W87+X87+Y87+Z87+AA87+AB87</f>
        <v>0</v>
      </c>
      <c r="AD87" s="70">
        <v>0</v>
      </c>
      <c r="AE87" s="63">
        <v>40484</v>
      </c>
      <c r="AF87" s="72"/>
      <c r="AG87" s="63" t="s">
        <v>938</v>
      </c>
      <c r="AH87" s="23" t="s">
        <v>939</v>
      </c>
      <c r="AI87" s="83"/>
      <c r="AJ87" s="124" t="s">
        <v>1608</v>
      </c>
      <c r="AK87" s="121" t="s">
        <v>1028</v>
      </c>
      <c r="AL87" s="107"/>
      <c r="AM87" s="108"/>
      <c r="AN87" s="109"/>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10"/>
      <c r="CO87" s="111"/>
      <c r="CP87" s="110"/>
      <c r="CQ87" s="111"/>
      <c r="CR87" s="110"/>
      <c r="CS87" s="111"/>
      <c r="CT87" s="112">
        <f t="shared" si="19"/>
        <v>0</v>
      </c>
      <c r="CU87" s="113"/>
      <c r="CV87" s="114"/>
      <c r="CW87" s="115"/>
      <c r="CX87" s="116"/>
      <c r="CY87" s="117"/>
      <c r="CZ87" s="116"/>
      <c r="DA87" s="113"/>
      <c r="DB87" s="114"/>
      <c r="DC87" s="64"/>
      <c r="DD87" s="118"/>
    </row>
    <row r="88" spans="1:108" outlineLevel="2">
      <c r="A88" s="178">
        <v>40484</v>
      </c>
      <c r="B88" s="164" t="s">
        <v>1233</v>
      </c>
      <c r="C88" s="164" t="s">
        <v>637</v>
      </c>
      <c r="D88" s="166" t="s">
        <v>1262</v>
      </c>
      <c r="E88" s="163"/>
      <c r="F88" s="105"/>
      <c r="G88" s="105"/>
      <c r="H88" s="105">
        <v>200</v>
      </c>
      <c r="I88" s="105">
        <v>50</v>
      </c>
      <c r="J88" s="105"/>
      <c r="K88" s="105">
        <v>50</v>
      </c>
      <c r="L88" s="105"/>
      <c r="M88" s="105"/>
      <c r="N88" s="105"/>
      <c r="O88" s="105"/>
      <c r="P88" s="105"/>
      <c r="Q88" s="105"/>
      <c r="R88" s="105"/>
      <c r="S88" s="105"/>
      <c r="T88" s="106"/>
      <c r="U88" s="130"/>
      <c r="V88" s="1"/>
      <c r="W88" s="68">
        <f t="shared" si="15"/>
        <v>0</v>
      </c>
      <c r="X88" s="68">
        <f t="shared" si="16"/>
        <v>0</v>
      </c>
      <c r="Y88" s="68">
        <f t="shared" si="17"/>
        <v>0</v>
      </c>
      <c r="Z88" s="68">
        <f t="shared" si="18"/>
        <v>0</v>
      </c>
      <c r="AA88" s="68"/>
      <c r="AB88" s="68">
        <v>0</v>
      </c>
      <c r="AC88" s="69">
        <f t="shared" si="20"/>
        <v>0</v>
      </c>
      <c r="AD88" s="70">
        <v>0</v>
      </c>
      <c r="AE88" s="63">
        <v>40483</v>
      </c>
      <c r="AF88" s="72"/>
      <c r="AG88" s="63" t="s">
        <v>938</v>
      </c>
      <c r="AH88" s="23" t="s">
        <v>939</v>
      </c>
      <c r="AI88" s="60"/>
      <c r="AJ88" s="124" t="s">
        <v>1608</v>
      </c>
      <c r="AK88" s="121" t="s">
        <v>1565</v>
      </c>
      <c r="AL88" s="107"/>
      <c r="AM88" s="108"/>
      <c r="AN88" s="109"/>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10"/>
      <c r="CO88" s="111"/>
      <c r="CP88" s="110"/>
      <c r="CQ88" s="111"/>
      <c r="CR88" s="110"/>
      <c r="CS88" s="111"/>
      <c r="CT88" s="112">
        <f t="shared" si="19"/>
        <v>0</v>
      </c>
      <c r="CU88" s="113"/>
      <c r="CV88" s="114"/>
      <c r="CW88" s="115"/>
      <c r="CX88" s="116"/>
      <c r="CY88" s="117"/>
      <c r="CZ88" s="116"/>
      <c r="DA88" s="113"/>
      <c r="DB88" s="114"/>
      <c r="DC88" s="64"/>
      <c r="DD88" s="118"/>
    </row>
    <row r="89" spans="1:108" ht="36" outlineLevel="2">
      <c r="A89" s="178">
        <v>40485</v>
      </c>
      <c r="B89" s="164" t="s">
        <v>1233</v>
      </c>
      <c r="C89" s="164" t="s">
        <v>1278</v>
      </c>
      <c r="D89" s="166" t="s">
        <v>1262</v>
      </c>
      <c r="E89" s="163"/>
      <c r="F89" s="105"/>
      <c r="G89" s="105"/>
      <c r="H89" s="105">
        <v>600</v>
      </c>
      <c r="I89" s="105">
        <v>120</v>
      </c>
      <c r="J89" s="105"/>
      <c r="K89" s="105">
        <v>120</v>
      </c>
      <c r="L89" s="105"/>
      <c r="M89" s="105"/>
      <c r="N89" s="105"/>
      <c r="O89" s="105"/>
      <c r="P89" s="105"/>
      <c r="Q89" s="105"/>
      <c r="R89" s="105"/>
      <c r="S89" s="105"/>
      <c r="T89" s="106"/>
      <c r="U89" s="130"/>
      <c r="V89" s="1"/>
      <c r="W89" s="68">
        <f t="shared" si="15"/>
        <v>0</v>
      </c>
      <c r="X89" s="68">
        <f t="shared" si="16"/>
        <v>0</v>
      </c>
      <c r="Y89" s="68">
        <f t="shared" si="17"/>
        <v>0</v>
      </c>
      <c r="Z89" s="68">
        <f t="shared" si="18"/>
        <v>0</v>
      </c>
      <c r="AA89" s="68"/>
      <c r="AB89" s="68">
        <v>0</v>
      </c>
      <c r="AC89" s="69">
        <f t="shared" si="20"/>
        <v>0</v>
      </c>
      <c r="AD89" s="70">
        <v>0</v>
      </c>
      <c r="AE89" s="63">
        <v>40484</v>
      </c>
      <c r="AF89" s="72"/>
      <c r="AG89" s="63" t="s">
        <v>954</v>
      </c>
      <c r="AH89" s="23" t="s">
        <v>955</v>
      </c>
      <c r="AI89" s="83"/>
      <c r="AJ89" s="124" t="s">
        <v>7</v>
      </c>
      <c r="AK89" s="121" t="s">
        <v>375</v>
      </c>
      <c r="AL89" s="107"/>
      <c r="AM89" s="108"/>
      <c r="AN89" s="109"/>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10"/>
      <c r="CO89" s="111"/>
      <c r="CP89" s="110"/>
      <c r="CQ89" s="111"/>
      <c r="CR89" s="110"/>
      <c r="CS89" s="111"/>
      <c r="CT89" s="112">
        <f t="shared" si="19"/>
        <v>0</v>
      </c>
      <c r="CU89" s="113"/>
      <c r="CV89" s="114"/>
      <c r="CW89" s="115"/>
      <c r="CX89" s="116"/>
      <c r="CY89" s="117"/>
      <c r="CZ89" s="116"/>
      <c r="DA89" s="113"/>
      <c r="DB89" s="114"/>
      <c r="DC89" s="64"/>
      <c r="DD89" s="118"/>
    </row>
    <row r="90" spans="1:108" ht="24" outlineLevel="2">
      <c r="A90" s="178">
        <v>40485</v>
      </c>
      <c r="B90" s="164" t="s">
        <v>1233</v>
      </c>
      <c r="C90" s="164" t="s">
        <v>868</v>
      </c>
      <c r="D90" s="165" t="s">
        <v>1182</v>
      </c>
      <c r="E90" s="163"/>
      <c r="F90" s="105"/>
      <c r="G90" s="105"/>
      <c r="H90" s="105">
        <v>10</v>
      </c>
      <c r="I90" s="105">
        <v>2</v>
      </c>
      <c r="J90" s="105"/>
      <c r="K90" s="105">
        <v>2</v>
      </c>
      <c r="L90" s="105"/>
      <c r="M90" s="105"/>
      <c r="N90" s="105"/>
      <c r="O90" s="105"/>
      <c r="P90" s="105"/>
      <c r="Q90" s="105"/>
      <c r="R90" s="105"/>
      <c r="S90" s="105"/>
      <c r="T90" s="106"/>
      <c r="U90" s="130"/>
      <c r="V90" s="1"/>
      <c r="W90" s="68">
        <f t="shared" si="15"/>
        <v>0</v>
      </c>
      <c r="X90" s="68">
        <f t="shared" si="16"/>
        <v>0</v>
      </c>
      <c r="Y90" s="68">
        <f t="shared" si="17"/>
        <v>0</v>
      </c>
      <c r="Z90" s="68">
        <f t="shared" si="18"/>
        <v>0</v>
      </c>
      <c r="AA90" s="68"/>
      <c r="AB90" s="68">
        <v>0</v>
      </c>
      <c r="AC90" s="69">
        <f t="shared" si="20"/>
        <v>0</v>
      </c>
      <c r="AD90" s="70">
        <v>0</v>
      </c>
      <c r="AE90" s="63">
        <v>40484</v>
      </c>
      <c r="AF90" s="72"/>
      <c r="AG90" s="63" t="s">
        <v>938</v>
      </c>
      <c r="AH90" s="23" t="s">
        <v>939</v>
      </c>
      <c r="AI90" s="83"/>
      <c r="AJ90" s="124" t="s">
        <v>1608</v>
      </c>
      <c r="AK90" s="121" t="s">
        <v>377</v>
      </c>
      <c r="AL90" s="107"/>
      <c r="AM90" s="108"/>
      <c r="AN90" s="109"/>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10"/>
      <c r="CO90" s="111"/>
      <c r="CP90" s="110"/>
      <c r="CQ90" s="111"/>
      <c r="CR90" s="110"/>
      <c r="CS90" s="111"/>
      <c r="CT90" s="112">
        <f t="shared" si="19"/>
        <v>0</v>
      </c>
      <c r="CU90" s="113"/>
      <c r="CV90" s="114"/>
      <c r="CW90" s="115"/>
      <c r="CX90" s="116"/>
      <c r="CY90" s="117"/>
      <c r="CZ90" s="116"/>
      <c r="DA90" s="113"/>
      <c r="DB90" s="114"/>
      <c r="DC90" s="64"/>
      <c r="DD90" s="118"/>
    </row>
    <row r="91" spans="1:108" ht="60" outlineLevel="2">
      <c r="A91" s="178">
        <v>40485</v>
      </c>
      <c r="B91" s="164" t="s">
        <v>1233</v>
      </c>
      <c r="C91" s="164" t="s">
        <v>373</v>
      </c>
      <c r="D91" s="166" t="s">
        <v>1262</v>
      </c>
      <c r="E91" s="163"/>
      <c r="F91" s="105"/>
      <c r="G91" s="105"/>
      <c r="H91" s="105">
        <v>6880</v>
      </c>
      <c r="I91" s="105">
        <v>1376</v>
      </c>
      <c r="J91" s="105"/>
      <c r="K91" s="105">
        <v>1376</v>
      </c>
      <c r="L91" s="105"/>
      <c r="M91" s="105"/>
      <c r="N91" s="105"/>
      <c r="O91" s="105"/>
      <c r="P91" s="105"/>
      <c r="Q91" s="105"/>
      <c r="R91" s="105"/>
      <c r="S91" s="105"/>
      <c r="T91" s="106"/>
      <c r="U91" s="130"/>
      <c r="V91" s="1"/>
      <c r="W91" s="68">
        <f t="shared" si="15"/>
        <v>0</v>
      </c>
      <c r="X91" s="68">
        <f t="shared" si="16"/>
        <v>0</v>
      </c>
      <c r="Y91" s="68">
        <f t="shared" si="17"/>
        <v>0</v>
      </c>
      <c r="Z91" s="68">
        <f t="shared" si="18"/>
        <v>0</v>
      </c>
      <c r="AA91" s="68"/>
      <c r="AB91" s="68">
        <v>0</v>
      </c>
      <c r="AC91" s="69">
        <f t="shared" si="20"/>
        <v>0</v>
      </c>
      <c r="AD91" s="70">
        <v>0</v>
      </c>
      <c r="AE91" s="63">
        <v>40484</v>
      </c>
      <c r="AF91" s="72"/>
      <c r="AG91" s="63" t="s">
        <v>954</v>
      </c>
      <c r="AH91" s="23" t="s">
        <v>955</v>
      </c>
      <c r="AI91" s="83"/>
      <c r="AJ91" s="124" t="s">
        <v>7</v>
      </c>
      <c r="AK91" s="121" t="s">
        <v>379</v>
      </c>
      <c r="AL91" s="107"/>
      <c r="AM91" s="108"/>
      <c r="AN91" s="109"/>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10"/>
      <c r="CO91" s="111"/>
      <c r="CP91" s="110"/>
      <c r="CQ91" s="111"/>
      <c r="CR91" s="110"/>
      <c r="CS91" s="111"/>
      <c r="CT91" s="112">
        <f t="shared" si="19"/>
        <v>0</v>
      </c>
      <c r="CU91" s="113"/>
      <c r="CV91" s="114"/>
      <c r="CW91" s="115"/>
      <c r="CX91" s="116"/>
      <c r="CY91" s="117"/>
      <c r="CZ91" s="116"/>
      <c r="DA91" s="113"/>
      <c r="DB91" s="114"/>
      <c r="DC91" s="64"/>
      <c r="DD91" s="118"/>
    </row>
    <row r="92" spans="1:108" ht="24" outlineLevel="2">
      <c r="A92" s="178">
        <v>40485</v>
      </c>
      <c r="B92" s="164" t="s">
        <v>1233</v>
      </c>
      <c r="C92" s="164" t="s">
        <v>381</v>
      </c>
      <c r="D92" s="166" t="s">
        <v>1262</v>
      </c>
      <c r="E92" s="163">
        <v>1</v>
      </c>
      <c r="F92" s="105"/>
      <c r="G92" s="105"/>
      <c r="H92" s="105">
        <v>20</v>
      </c>
      <c r="I92" s="105">
        <v>5</v>
      </c>
      <c r="J92" s="105"/>
      <c r="K92" s="105">
        <v>5</v>
      </c>
      <c r="L92" s="105"/>
      <c r="M92" s="105"/>
      <c r="N92" s="105"/>
      <c r="O92" s="105"/>
      <c r="P92" s="105"/>
      <c r="Q92" s="105"/>
      <c r="R92" s="105"/>
      <c r="S92" s="105"/>
      <c r="T92" s="106"/>
      <c r="U92" s="130"/>
      <c r="V92" s="1"/>
      <c r="W92" s="68">
        <f t="shared" si="15"/>
        <v>0</v>
      </c>
      <c r="X92" s="68">
        <f t="shared" si="16"/>
        <v>0</v>
      </c>
      <c r="Y92" s="68">
        <f t="shared" si="17"/>
        <v>0</v>
      </c>
      <c r="Z92" s="68">
        <f t="shared" si="18"/>
        <v>0</v>
      </c>
      <c r="AA92" s="68"/>
      <c r="AB92" s="68">
        <v>0</v>
      </c>
      <c r="AC92" s="69">
        <f t="shared" si="20"/>
        <v>0</v>
      </c>
      <c r="AD92" s="70">
        <v>0</v>
      </c>
      <c r="AE92" s="63">
        <v>40487</v>
      </c>
      <c r="AF92" s="72"/>
      <c r="AG92" s="63" t="s">
        <v>938</v>
      </c>
      <c r="AH92" s="23" t="s">
        <v>939</v>
      </c>
      <c r="AI92" s="60"/>
      <c r="AJ92" s="124" t="s">
        <v>1608</v>
      </c>
      <c r="AK92" s="121" t="s">
        <v>382</v>
      </c>
      <c r="AL92" s="107"/>
      <c r="AM92" s="108"/>
      <c r="AN92" s="109"/>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10"/>
      <c r="CO92" s="111"/>
      <c r="CP92" s="110"/>
      <c r="CQ92" s="111"/>
      <c r="CR92" s="110"/>
      <c r="CS92" s="111"/>
      <c r="CT92" s="112">
        <f t="shared" si="19"/>
        <v>0</v>
      </c>
      <c r="CU92" s="113"/>
      <c r="CV92" s="114"/>
      <c r="CW92" s="115"/>
      <c r="CX92" s="116"/>
      <c r="CY92" s="117"/>
      <c r="CZ92" s="116"/>
      <c r="DA92" s="113"/>
      <c r="DB92" s="114"/>
      <c r="DC92" s="64"/>
      <c r="DD92" s="118"/>
    </row>
    <row r="93" spans="1:108" ht="24" outlineLevel="2">
      <c r="A93" s="178">
        <v>40485</v>
      </c>
      <c r="B93" s="164" t="s">
        <v>1233</v>
      </c>
      <c r="C93" s="164" t="s">
        <v>1242</v>
      </c>
      <c r="D93" s="166" t="s">
        <v>1262</v>
      </c>
      <c r="E93" s="163"/>
      <c r="F93" s="105"/>
      <c r="G93" s="105"/>
      <c r="H93" s="105">
        <v>100</v>
      </c>
      <c r="I93" s="105">
        <v>20</v>
      </c>
      <c r="J93" s="105">
        <v>1</v>
      </c>
      <c r="K93" s="105">
        <v>19</v>
      </c>
      <c r="L93" s="105"/>
      <c r="M93" s="105"/>
      <c r="N93" s="105"/>
      <c r="O93" s="105"/>
      <c r="P93" s="105"/>
      <c r="Q93" s="105"/>
      <c r="R93" s="105"/>
      <c r="S93" s="105"/>
      <c r="T93" s="106"/>
      <c r="U93" s="130"/>
      <c r="V93" s="1"/>
      <c r="W93" s="68">
        <f t="shared" si="15"/>
        <v>0</v>
      </c>
      <c r="X93" s="68">
        <f t="shared" si="16"/>
        <v>0</v>
      </c>
      <c r="Y93" s="68">
        <f t="shared" si="17"/>
        <v>0</v>
      </c>
      <c r="Z93" s="68">
        <f t="shared" si="18"/>
        <v>0</v>
      </c>
      <c r="AA93" s="68"/>
      <c r="AB93" s="68">
        <v>0</v>
      </c>
      <c r="AC93" s="69">
        <f t="shared" si="20"/>
        <v>0</v>
      </c>
      <c r="AD93" s="70">
        <v>0</v>
      </c>
      <c r="AE93" s="63">
        <v>40484</v>
      </c>
      <c r="AF93" s="72"/>
      <c r="AG93" s="63" t="s">
        <v>954</v>
      </c>
      <c r="AH93" s="23" t="s">
        <v>955</v>
      </c>
      <c r="AI93" s="83"/>
      <c r="AJ93" s="124" t="s">
        <v>7</v>
      </c>
      <c r="AK93" s="121" t="s">
        <v>743</v>
      </c>
      <c r="AL93" s="107"/>
      <c r="AM93" s="108"/>
      <c r="AN93" s="109"/>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10"/>
      <c r="CO93" s="111"/>
      <c r="CP93" s="110"/>
      <c r="CQ93" s="111"/>
      <c r="CR93" s="110"/>
      <c r="CS93" s="111"/>
      <c r="CT93" s="112">
        <f t="shared" si="19"/>
        <v>0</v>
      </c>
      <c r="CU93" s="113"/>
      <c r="CV93" s="114"/>
      <c r="CW93" s="115"/>
      <c r="CX93" s="116"/>
      <c r="CY93" s="117"/>
      <c r="CZ93" s="116"/>
      <c r="DA93" s="113"/>
      <c r="DB93" s="114"/>
      <c r="DC93" s="64"/>
      <c r="DD93" s="118"/>
    </row>
    <row r="94" spans="1:108" ht="24" outlineLevel="2">
      <c r="A94" s="178">
        <v>40485</v>
      </c>
      <c r="B94" s="164" t="s">
        <v>1233</v>
      </c>
      <c r="C94" s="164" t="s">
        <v>1578</v>
      </c>
      <c r="D94" s="166" t="s">
        <v>1262</v>
      </c>
      <c r="E94" s="163"/>
      <c r="F94" s="105"/>
      <c r="G94" s="105"/>
      <c r="H94" s="105">
        <v>200</v>
      </c>
      <c r="I94" s="105">
        <v>50</v>
      </c>
      <c r="J94" s="105"/>
      <c r="K94" s="105">
        <v>50</v>
      </c>
      <c r="L94" s="105"/>
      <c r="M94" s="105"/>
      <c r="N94" s="105"/>
      <c r="O94" s="105"/>
      <c r="P94" s="105"/>
      <c r="Q94" s="105"/>
      <c r="R94" s="105"/>
      <c r="S94" s="105"/>
      <c r="T94" s="106"/>
      <c r="U94" s="130"/>
      <c r="V94" s="1"/>
      <c r="W94" s="68">
        <f t="shared" si="15"/>
        <v>0</v>
      </c>
      <c r="X94" s="68">
        <f t="shared" si="16"/>
        <v>0</v>
      </c>
      <c r="Y94" s="68">
        <f t="shared" si="17"/>
        <v>0</v>
      </c>
      <c r="Z94" s="68">
        <f t="shared" si="18"/>
        <v>0</v>
      </c>
      <c r="AA94" s="68"/>
      <c r="AB94" s="68">
        <v>0</v>
      </c>
      <c r="AC94" s="69">
        <f t="shared" si="20"/>
        <v>0</v>
      </c>
      <c r="AD94" s="70">
        <v>0</v>
      </c>
      <c r="AE94" s="63">
        <v>40487</v>
      </c>
      <c r="AF94" s="72"/>
      <c r="AG94" s="63" t="s">
        <v>938</v>
      </c>
      <c r="AH94" s="23" t="s">
        <v>939</v>
      </c>
      <c r="AI94" s="60"/>
      <c r="AJ94" s="124" t="s">
        <v>1608</v>
      </c>
      <c r="AK94" s="121" t="s">
        <v>380</v>
      </c>
      <c r="AL94" s="107"/>
      <c r="AM94" s="108"/>
      <c r="AN94" s="109"/>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10"/>
      <c r="CO94" s="111"/>
      <c r="CP94" s="110"/>
      <c r="CQ94" s="111"/>
      <c r="CR94" s="110"/>
      <c r="CS94" s="111"/>
      <c r="CT94" s="112">
        <f t="shared" si="19"/>
        <v>0</v>
      </c>
      <c r="CU94" s="113"/>
      <c r="CV94" s="114"/>
      <c r="CW94" s="115"/>
      <c r="CX94" s="116"/>
      <c r="CY94" s="117"/>
      <c r="CZ94" s="116"/>
      <c r="DA94" s="113"/>
      <c r="DB94" s="114"/>
      <c r="DC94" s="64"/>
      <c r="DD94" s="126" t="s">
        <v>1263</v>
      </c>
    </row>
    <row r="95" spans="1:108" outlineLevel="2">
      <c r="A95" s="178">
        <v>40485</v>
      </c>
      <c r="B95" s="164" t="s">
        <v>1233</v>
      </c>
      <c r="C95" s="164" t="s">
        <v>1578</v>
      </c>
      <c r="D95" s="166" t="s">
        <v>435</v>
      </c>
      <c r="E95" s="163"/>
      <c r="F95" s="105"/>
      <c r="G95" s="105"/>
      <c r="H95" s="105">
        <v>50</v>
      </c>
      <c r="I95" s="105">
        <v>10</v>
      </c>
      <c r="J95" s="105"/>
      <c r="K95" s="105">
        <v>10</v>
      </c>
      <c r="L95" s="105"/>
      <c r="M95" s="105"/>
      <c r="N95" s="105"/>
      <c r="O95" s="105"/>
      <c r="P95" s="105"/>
      <c r="Q95" s="105"/>
      <c r="R95" s="105"/>
      <c r="S95" s="105"/>
      <c r="T95" s="106"/>
      <c r="U95" s="130"/>
      <c r="V95" s="1"/>
      <c r="W95" s="68">
        <f t="shared" si="15"/>
        <v>0</v>
      </c>
      <c r="X95" s="68">
        <f t="shared" si="16"/>
        <v>0</v>
      </c>
      <c r="Y95" s="68">
        <f t="shared" si="17"/>
        <v>0</v>
      </c>
      <c r="Z95" s="68">
        <f t="shared" si="18"/>
        <v>0</v>
      </c>
      <c r="AA95" s="68"/>
      <c r="AB95" s="68">
        <v>0</v>
      </c>
      <c r="AC95" s="69">
        <f t="shared" si="20"/>
        <v>0</v>
      </c>
      <c r="AD95" s="70">
        <v>0</v>
      </c>
      <c r="AE95" s="63">
        <v>40487</v>
      </c>
      <c r="AF95" s="72"/>
      <c r="AG95" s="63" t="s">
        <v>938</v>
      </c>
      <c r="AH95" s="23" t="s">
        <v>939</v>
      </c>
      <c r="AI95" s="60"/>
      <c r="AJ95" s="124" t="s">
        <v>1608</v>
      </c>
      <c r="AK95" s="121" t="s">
        <v>383</v>
      </c>
      <c r="AL95" s="107"/>
      <c r="AM95" s="108"/>
      <c r="AN95" s="109"/>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10"/>
      <c r="CO95" s="111"/>
      <c r="CP95" s="110"/>
      <c r="CQ95" s="111"/>
      <c r="CR95" s="110"/>
      <c r="CS95" s="111"/>
      <c r="CT95" s="112">
        <f t="shared" si="19"/>
        <v>0</v>
      </c>
      <c r="CU95" s="113"/>
      <c r="CV95" s="114"/>
      <c r="CW95" s="115"/>
      <c r="CX95" s="116"/>
      <c r="CY95" s="117"/>
      <c r="CZ95" s="116"/>
      <c r="DA95" s="113"/>
      <c r="DB95" s="114"/>
      <c r="DC95" s="64"/>
      <c r="DD95" s="118"/>
    </row>
    <row r="96" spans="1:108" ht="36" outlineLevel="2">
      <c r="A96" s="178">
        <v>40485</v>
      </c>
      <c r="B96" s="164" t="s">
        <v>1233</v>
      </c>
      <c r="C96" s="164" t="s">
        <v>1547</v>
      </c>
      <c r="D96" s="166" t="s">
        <v>1262</v>
      </c>
      <c r="E96" s="163"/>
      <c r="F96" s="105"/>
      <c r="G96" s="105"/>
      <c r="H96" s="105">
        <v>1900</v>
      </c>
      <c r="I96" s="105">
        <v>380</v>
      </c>
      <c r="J96" s="105"/>
      <c r="K96" s="105">
        <v>380</v>
      </c>
      <c r="L96" s="105"/>
      <c r="M96" s="105"/>
      <c r="N96" s="105"/>
      <c r="O96" s="105"/>
      <c r="P96" s="105"/>
      <c r="Q96" s="105"/>
      <c r="R96" s="105"/>
      <c r="S96" s="105"/>
      <c r="T96" s="106"/>
      <c r="U96" s="130"/>
      <c r="V96" s="1"/>
      <c r="W96" s="68">
        <f t="shared" si="15"/>
        <v>0</v>
      </c>
      <c r="X96" s="68">
        <f t="shared" si="16"/>
        <v>0</v>
      </c>
      <c r="Y96" s="68">
        <f t="shared" si="17"/>
        <v>0</v>
      </c>
      <c r="Z96" s="68">
        <f t="shared" si="18"/>
        <v>0</v>
      </c>
      <c r="AA96" s="68"/>
      <c r="AB96" s="68">
        <v>0</v>
      </c>
      <c r="AC96" s="69">
        <f t="shared" si="20"/>
        <v>0</v>
      </c>
      <c r="AD96" s="70">
        <v>0</v>
      </c>
      <c r="AE96" s="63">
        <v>40484</v>
      </c>
      <c r="AF96" s="72"/>
      <c r="AG96" s="63" t="s">
        <v>954</v>
      </c>
      <c r="AH96" s="23" t="s">
        <v>955</v>
      </c>
      <c r="AI96" s="83"/>
      <c r="AJ96" s="124" t="s">
        <v>7</v>
      </c>
      <c r="AK96" s="121" t="s">
        <v>374</v>
      </c>
      <c r="AL96" s="107"/>
      <c r="AM96" s="108"/>
      <c r="AN96" s="109"/>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10"/>
      <c r="CO96" s="111"/>
      <c r="CP96" s="110"/>
      <c r="CQ96" s="111"/>
      <c r="CR96" s="110"/>
      <c r="CS96" s="111"/>
      <c r="CT96" s="112">
        <f t="shared" si="19"/>
        <v>0</v>
      </c>
      <c r="CU96" s="113"/>
      <c r="CV96" s="114"/>
      <c r="CW96" s="115"/>
      <c r="CX96" s="116"/>
      <c r="CY96" s="117"/>
      <c r="CZ96" s="116"/>
      <c r="DA96" s="113"/>
      <c r="DB96" s="114"/>
      <c r="DC96" s="64"/>
      <c r="DD96" s="118"/>
    </row>
    <row r="97" spans="1:108" ht="24" outlineLevel="2">
      <c r="A97" s="178">
        <v>40485</v>
      </c>
      <c r="B97" s="164" t="s">
        <v>1233</v>
      </c>
      <c r="C97" s="164" t="s">
        <v>384</v>
      </c>
      <c r="D97" s="166" t="s">
        <v>1262</v>
      </c>
      <c r="E97" s="163"/>
      <c r="F97" s="105"/>
      <c r="G97" s="105"/>
      <c r="H97" s="105">
        <v>3112</v>
      </c>
      <c r="I97" s="105">
        <v>1334</v>
      </c>
      <c r="J97" s="105"/>
      <c r="K97" s="105">
        <v>1334</v>
      </c>
      <c r="L97" s="105"/>
      <c r="M97" s="105"/>
      <c r="N97" s="105"/>
      <c r="O97" s="105"/>
      <c r="P97" s="105"/>
      <c r="Q97" s="105"/>
      <c r="R97" s="105"/>
      <c r="S97" s="105"/>
      <c r="T97" s="106"/>
      <c r="U97" s="130"/>
      <c r="V97" s="1"/>
      <c r="W97" s="68">
        <f t="shared" si="15"/>
        <v>0</v>
      </c>
      <c r="X97" s="68">
        <f t="shared" si="16"/>
        <v>0</v>
      </c>
      <c r="Y97" s="68">
        <f t="shared" si="17"/>
        <v>0</v>
      </c>
      <c r="Z97" s="68">
        <f t="shared" si="18"/>
        <v>0</v>
      </c>
      <c r="AA97" s="68"/>
      <c r="AB97" s="68">
        <v>0</v>
      </c>
      <c r="AC97" s="69">
        <f t="shared" si="20"/>
        <v>0</v>
      </c>
      <c r="AD97" s="70">
        <v>0</v>
      </c>
      <c r="AE97" s="63">
        <v>40487</v>
      </c>
      <c r="AF97" s="72"/>
      <c r="AG97" s="63" t="s">
        <v>954</v>
      </c>
      <c r="AH97" s="23" t="s">
        <v>955</v>
      </c>
      <c r="AI97" s="60"/>
      <c r="AJ97" s="124" t="s">
        <v>7</v>
      </c>
      <c r="AK97" s="121" t="s">
        <v>385</v>
      </c>
      <c r="AL97" s="107"/>
      <c r="AM97" s="108"/>
      <c r="AN97" s="109"/>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10"/>
      <c r="CO97" s="111"/>
      <c r="CP97" s="110"/>
      <c r="CQ97" s="111"/>
      <c r="CR97" s="110"/>
      <c r="CS97" s="111"/>
      <c r="CT97" s="112">
        <f t="shared" si="19"/>
        <v>0</v>
      </c>
      <c r="CU97" s="113"/>
      <c r="CV97" s="114"/>
      <c r="CW97" s="115"/>
      <c r="CX97" s="116"/>
      <c r="CY97" s="117"/>
      <c r="CZ97" s="116"/>
      <c r="DA97" s="113"/>
      <c r="DB97" s="114"/>
      <c r="DC97" s="64"/>
      <c r="DD97" s="118"/>
    </row>
    <row r="98" spans="1:108" ht="144" outlineLevel="2">
      <c r="A98" s="178">
        <v>40487</v>
      </c>
      <c r="B98" s="164" t="s">
        <v>1233</v>
      </c>
      <c r="C98" s="164" t="s">
        <v>1284</v>
      </c>
      <c r="D98" s="166" t="s">
        <v>1262</v>
      </c>
      <c r="E98" s="163"/>
      <c r="F98" s="105"/>
      <c r="G98" s="105"/>
      <c r="H98" s="105">
        <v>10000</v>
      </c>
      <c r="I98" s="105">
        <v>2000</v>
      </c>
      <c r="J98" s="105"/>
      <c r="K98" s="105">
        <v>2000</v>
      </c>
      <c r="L98" s="105"/>
      <c r="M98" s="105"/>
      <c r="N98" s="105"/>
      <c r="O98" s="105"/>
      <c r="P98" s="105"/>
      <c r="Q98" s="105"/>
      <c r="R98" s="105"/>
      <c r="S98" s="105"/>
      <c r="T98" s="106"/>
      <c r="U98" s="130"/>
      <c r="V98" s="1"/>
      <c r="W98" s="68">
        <f t="shared" si="15"/>
        <v>0</v>
      </c>
      <c r="X98" s="68">
        <f t="shared" si="16"/>
        <v>0</v>
      </c>
      <c r="Y98" s="68">
        <f t="shared" si="17"/>
        <v>0</v>
      </c>
      <c r="Z98" s="68">
        <f t="shared" si="18"/>
        <v>0</v>
      </c>
      <c r="AA98" s="68"/>
      <c r="AB98" s="68">
        <v>0</v>
      </c>
      <c r="AC98" s="69">
        <f t="shared" si="20"/>
        <v>0</v>
      </c>
      <c r="AD98" s="70">
        <v>0</v>
      </c>
      <c r="AE98" s="63">
        <v>40490</v>
      </c>
      <c r="AF98" s="72"/>
      <c r="AG98" s="63" t="s">
        <v>954</v>
      </c>
      <c r="AH98" s="23" t="s">
        <v>955</v>
      </c>
      <c r="AI98" s="60"/>
      <c r="AJ98" s="124" t="s">
        <v>7</v>
      </c>
      <c r="AK98" s="121" t="s">
        <v>2134</v>
      </c>
      <c r="AL98" s="107"/>
      <c r="AM98" s="108"/>
      <c r="AN98" s="109"/>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10"/>
      <c r="CO98" s="111"/>
      <c r="CP98" s="110"/>
      <c r="CQ98" s="111"/>
      <c r="CR98" s="110"/>
      <c r="CS98" s="111"/>
      <c r="CT98" s="112">
        <f t="shared" si="19"/>
        <v>0</v>
      </c>
      <c r="CU98" s="113"/>
      <c r="CV98" s="114"/>
      <c r="CW98" s="115"/>
      <c r="CX98" s="116"/>
      <c r="CY98" s="117"/>
      <c r="CZ98" s="116"/>
      <c r="DA98" s="113"/>
      <c r="DB98" s="114"/>
      <c r="DC98" s="64"/>
      <c r="DD98" s="118"/>
    </row>
    <row r="99" spans="1:108" ht="48" outlineLevel="2">
      <c r="A99" s="178">
        <v>40487</v>
      </c>
      <c r="B99" s="164" t="s">
        <v>1233</v>
      </c>
      <c r="C99" s="164" t="s">
        <v>460</v>
      </c>
      <c r="D99" s="166" t="s">
        <v>1262</v>
      </c>
      <c r="E99" s="163">
        <v>1</v>
      </c>
      <c r="F99" s="105"/>
      <c r="G99" s="105"/>
      <c r="H99" s="105">
        <v>650</v>
      </c>
      <c r="I99" s="105">
        <v>130</v>
      </c>
      <c r="J99" s="105">
        <v>2</v>
      </c>
      <c r="K99" s="105">
        <v>128</v>
      </c>
      <c r="L99" s="105"/>
      <c r="M99" s="105"/>
      <c r="N99" s="105"/>
      <c r="O99" s="105"/>
      <c r="P99" s="105"/>
      <c r="Q99" s="105"/>
      <c r="R99" s="105"/>
      <c r="S99" s="105"/>
      <c r="T99" s="106"/>
      <c r="U99" s="130"/>
      <c r="V99" s="1"/>
      <c r="W99" s="68">
        <f t="shared" si="15"/>
        <v>0</v>
      </c>
      <c r="X99" s="68">
        <f t="shared" si="16"/>
        <v>0</v>
      </c>
      <c r="Y99" s="68">
        <f t="shared" si="17"/>
        <v>0</v>
      </c>
      <c r="Z99" s="68">
        <f t="shared" si="18"/>
        <v>0</v>
      </c>
      <c r="AA99" s="68"/>
      <c r="AB99" s="68">
        <v>0</v>
      </c>
      <c r="AC99" s="69">
        <f t="shared" si="20"/>
        <v>0</v>
      </c>
      <c r="AD99" s="70">
        <v>0</v>
      </c>
      <c r="AE99" s="63">
        <v>40490</v>
      </c>
      <c r="AF99" s="72"/>
      <c r="AG99" s="63" t="s">
        <v>954</v>
      </c>
      <c r="AH99" s="23" t="s">
        <v>955</v>
      </c>
      <c r="AI99" s="60"/>
      <c r="AJ99" s="124" t="s">
        <v>7</v>
      </c>
      <c r="AK99" s="121" t="s">
        <v>461</v>
      </c>
      <c r="AL99" s="107"/>
      <c r="AM99" s="108"/>
      <c r="AN99" s="109"/>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10"/>
      <c r="CO99" s="111"/>
      <c r="CP99" s="110"/>
      <c r="CQ99" s="111"/>
      <c r="CR99" s="110"/>
      <c r="CS99" s="111"/>
      <c r="CT99" s="112">
        <f t="shared" si="19"/>
        <v>0</v>
      </c>
      <c r="CU99" s="113"/>
      <c r="CV99" s="114"/>
      <c r="CW99" s="115"/>
      <c r="CX99" s="116"/>
      <c r="CY99" s="117"/>
      <c r="CZ99" s="116"/>
      <c r="DA99" s="113"/>
      <c r="DB99" s="114"/>
      <c r="DC99" s="64"/>
      <c r="DD99" s="118"/>
    </row>
    <row r="100" spans="1:108" ht="24" outlineLevel="2">
      <c r="A100" s="178">
        <v>40488</v>
      </c>
      <c r="B100" s="164" t="s">
        <v>1233</v>
      </c>
      <c r="C100" s="164" t="s">
        <v>953</v>
      </c>
      <c r="D100" s="166" t="s">
        <v>1262</v>
      </c>
      <c r="E100" s="163"/>
      <c r="F100" s="105"/>
      <c r="G100" s="105"/>
      <c r="H100" s="105"/>
      <c r="I100" s="105"/>
      <c r="J100" s="105"/>
      <c r="K100" s="105"/>
      <c r="L100" s="105"/>
      <c r="M100" s="105"/>
      <c r="N100" s="105"/>
      <c r="O100" s="105"/>
      <c r="P100" s="105"/>
      <c r="Q100" s="105"/>
      <c r="R100" s="105"/>
      <c r="S100" s="105"/>
      <c r="T100" s="106"/>
      <c r="U100" s="130"/>
      <c r="V100" s="1"/>
      <c r="W100" s="68">
        <f t="shared" si="15"/>
        <v>0</v>
      </c>
      <c r="X100" s="68">
        <f t="shared" si="16"/>
        <v>0</v>
      </c>
      <c r="Y100" s="68">
        <f t="shared" si="17"/>
        <v>0</v>
      </c>
      <c r="Z100" s="68">
        <f t="shared" si="18"/>
        <v>0</v>
      </c>
      <c r="AA100" s="68"/>
      <c r="AB100" s="68">
        <v>0</v>
      </c>
      <c r="AC100" s="69">
        <f t="shared" si="20"/>
        <v>0</v>
      </c>
      <c r="AD100" s="70">
        <v>170000000</v>
      </c>
      <c r="AE100" s="63">
        <v>40488</v>
      </c>
      <c r="AF100" s="72"/>
      <c r="AG100" s="63" t="s">
        <v>954</v>
      </c>
      <c r="AH100" s="23" t="s">
        <v>955</v>
      </c>
      <c r="AI100" s="60"/>
      <c r="AJ100" s="124"/>
      <c r="AK100" s="121" t="s">
        <v>497</v>
      </c>
      <c r="AL100" s="107"/>
      <c r="AM100" s="108"/>
      <c r="AN100" s="109"/>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10"/>
      <c r="CO100" s="111"/>
      <c r="CP100" s="110"/>
      <c r="CQ100" s="111"/>
      <c r="CR100" s="110"/>
      <c r="CS100" s="111"/>
      <c r="CT100" s="112">
        <f t="shared" si="19"/>
        <v>0</v>
      </c>
      <c r="CU100" s="113"/>
      <c r="CV100" s="114"/>
      <c r="CW100" s="115"/>
      <c r="CX100" s="116"/>
      <c r="CY100" s="117"/>
      <c r="CZ100" s="116"/>
      <c r="DA100" s="113"/>
      <c r="DB100" s="114"/>
      <c r="DC100" s="64"/>
      <c r="DD100" s="118"/>
    </row>
    <row r="101" spans="1:108" ht="36" outlineLevel="2">
      <c r="A101" s="178">
        <v>40490</v>
      </c>
      <c r="B101" s="164" t="s">
        <v>1233</v>
      </c>
      <c r="C101" s="164" t="s">
        <v>868</v>
      </c>
      <c r="D101" s="166" t="s">
        <v>1262</v>
      </c>
      <c r="E101" s="163"/>
      <c r="F101" s="105"/>
      <c r="G101" s="105"/>
      <c r="H101" s="105">
        <v>35</v>
      </c>
      <c r="I101" s="105">
        <v>7</v>
      </c>
      <c r="J101" s="105">
        <v>2</v>
      </c>
      <c r="K101" s="105">
        <v>5</v>
      </c>
      <c r="L101" s="105"/>
      <c r="M101" s="105"/>
      <c r="N101" s="105"/>
      <c r="O101" s="105"/>
      <c r="P101" s="105"/>
      <c r="Q101" s="105"/>
      <c r="R101" s="105"/>
      <c r="S101" s="105"/>
      <c r="T101" s="106"/>
      <c r="U101" s="130" t="s">
        <v>496</v>
      </c>
      <c r="V101" s="1"/>
      <c r="W101" s="68">
        <f t="shared" ref="W101:W124" si="21">CT101</f>
        <v>0</v>
      </c>
      <c r="X101" s="68">
        <f t="shared" ref="X101:X124" si="22">CX101</f>
        <v>0</v>
      </c>
      <c r="Y101" s="68">
        <f t="shared" ref="Y101:Y124" si="23">CZ101+DB101</f>
        <v>0</v>
      </c>
      <c r="Z101" s="68">
        <f t="shared" ref="Z101:Z124" si="24">CV101</f>
        <v>0</v>
      </c>
      <c r="AA101" s="68"/>
      <c r="AB101" s="68">
        <v>0</v>
      </c>
      <c r="AC101" s="69">
        <f t="shared" si="20"/>
        <v>0</v>
      </c>
      <c r="AD101" s="70">
        <v>0</v>
      </c>
      <c r="AE101" s="63">
        <v>40491</v>
      </c>
      <c r="AF101" s="72"/>
      <c r="AG101" s="63" t="s">
        <v>938</v>
      </c>
      <c r="AH101" s="23" t="s">
        <v>939</v>
      </c>
      <c r="AI101" s="60"/>
      <c r="AJ101" s="124" t="s">
        <v>1608</v>
      </c>
      <c r="AK101" s="121" t="s">
        <v>8</v>
      </c>
      <c r="AL101" s="107"/>
      <c r="AM101" s="108"/>
      <c r="AN101" s="109"/>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10"/>
      <c r="CO101" s="111"/>
      <c r="CP101" s="110"/>
      <c r="CQ101" s="111"/>
      <c r="CR101" s="110"/>
      <c r="CS101" s="111"/>
      <c r="CT101" s="112">
        <f t="shared" ref="CT101:CT124" si="25">AM101+AO101+AQ101+AS101+AU101+AW101+AY101+BA101+BC101+BE101+BG101+BI101+BK101+BM101+BO101+BQ101+BS101+BU101+BW101+BY101+CA101+CC101+CE101+CG101+CI101+CK101+CM101+CO101+CQ101+CS101</f>
        <v>0</v>
      </c>
      <c r="CU101" s="113"/>
      <c r="CV101" s="114"/>
      <c r="CW101" s="115"/>
      <c r="CX101" s="116"/>
      <c r="CY101" s="117"/>
      <c r="CZ101" s="116"/>
      <c r="DA101" s="113"/>
      <c r="DB101" s="114"/>
      <c r="DC101" s="64"/>
      <c r="DD101" s="118"/>
    </row>
    <row r="102" spans="1:108" ht="36" outlineLevel="2">
      <c r="A102" s="178">
        <v>40490</v>
      </c>
      <c r="B102" s="164" t="s">
        <v>1233</v>
      </c>
      <c r="C102" s="164" t="s">
        <v>1980</v>
      </c>
      <c r="D102" s="166" t="s">
        <v>1262</v>
      </c>
      <c r="E102" s="163"/>
      <c r="F102" s="105"/>
      <c r="G102" s="105"/>
      <c r="H102" s="105">
        <v>650</v>
      </c>
      <c r="I102" s="105">
        <v>130</v>
      </c>
      <c r="J102" s="105"/>
      <c r="K102" s="105">
        <v>130</v>
      </c>
      <c r="L102" s="105"/>
      <c r="M102" s="105"/>
      <c r="N102" s="105"/>
      <c r="O102" s="105"/>
      <c r="P102" s="105"/>
      <c r="Q102" s="105"/>
      <c r="R102" s="105"/>
      <c r="S102" s="105"/>
      <c r="T102" s="106"/>
      <c r="U102" s="130"/>
      <c r="V102" s="1"/>
      <c r="W102" s="68">
        <f t="shared" si="21"/>
        <v>0</v>
      </c>
      <c r="X102" s="68">
        <f t="shared" si="22"/>
        <v>0</v>
      </c>
      <c r="Y102" s="68">
        <f t="shared" si="23"/>
        <v>0</v>
      </c>
      <c r="Z102" s="68">
        <f t="shared" si="24"/>
        <v>0</v>
      </c>
      <c r="AA102" s="68"/>
      <c r="AB102" s="68">
        <v>0</v>
      </c>
      <c r="AC102" s="69">
        <f t="shared" si="20"/>
        <v>0</v>
      </c>
      <c r="AD102" s="70">
        <v>0</v>
      </c>
      <c r="AE102" s="63">
        <v>40490</v>
      </c>
      <c r="AF102" s="72"/>
      <c r="AG102" s="63" t="s">
        <v>954</v>
      </c>
      <c r="AH102" s="23" t="s">
        <v>955</v>
      </c>
      <c r="AI102" s="60"/>
      <c r="AJ102" s="124" t="s">
        <v>7</v>
      </c>
      <c r="AK102" s="121" t="s">
        <v>476</v>
      </c>
      <c r="AL102" s="107"/>
      <c r="AM102" s="108"/>
      <c r="AN102" s="109"/>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10"/>
      <c r="CO102" s="111"/>
      <c r="CP102" s="110"/>
      <c r="CQ102" s="111"/>
      <c r="CR102" s="110"/>
      <c r="CS102" s="111"/>
      <c r="CT102" s="112">
        <f t="shared" si="25"/>
        <v>0</v>
      </c>
      <c r="CU102" s="113"/>
      <c r="CV102" s="114"/>
      <c r="CW102" s="115"/>
      <c r="CX102" s="116"/>
      <c r="CY102" s="117"/>
      <c r="CZ102" s="116"/>
      <c r="DA102" s="113"/>
      <c r="DB102" s="114"/>
      <c r="DC102" s="64"/>
      <c r="DD102" s="118"/>
    </row>
    <row r="103" spans="1:108" ht="36" outlineLevel="2">
      <c r="A103" s="178">
        <v>40491</v>
      </c>
      <c r="B103" s="164" t="s">
        <v>1233</v>
      </c>
      <c r="C103" s="164" t="s">
        <v>1908</v>
      </c>
      <c r="D103" s="165" t="s">
        <v>1182</v>
      </c>
      <c r="E103" s="163">
        <v>3</v>
      </c>
      <c r="F103" s="105"/>
      <c r="G103" s="105"/>
      <c r="H103" s="105"/>
      <c r="I103" s="105"/>
      <c r="J103" s="105"/>
      <c r="K103" s="105"/>
      <c r="L103" s="105">
        <v>2</v>
      </c>
      <c r="M103" s="105"/>
      <c r="N103" s="105"/>
      <c r="O103" s="105"/>
      <c r="P103" s="105"/>
      <c r="Q103" s="105"/>
      <c r="R103" s="105"/>
      <c r="S103" s="105"/>
      <c r="T103" s="106"/>
      <c r="U103" s="130"/>
      <c r="V103" s="1"/>
      <c r="W103" s="68">
        <f t="shared" si="21"/>
        <v>0</v>
      </c>
      <c r="X103" s="68">
        <f t="shared" si="22"/>
        <v>0</v>
      </c>
      <c r="Y103" s="68">
        <f t="shared" si="23"/>
        <v>0</v>
      </c>
      <c r="Z103" s="68">
        <f t="shared" si="24"/>
        <v>0</v>
      </c>
      <c r="AA103" s="68"/>
      <c r="AB103" s="68">
        <v>0</v>
      </c>
      <c r="AC103" s="69">
        <f t="shared" si="20"/>
        <v>0</v>
      </c>
      <c r="AD103" s="70">
        <v>0</v>
      </c>
      <c r="AE103" s="63">
        <v>40494</v>
      </c>
      <c r="AF103" s="72"/>
      <c r="AG103" s="63" t="s">
        <v>938</v>
      </c>
      <c r="AH103" s="23" t="s">
        <v>939</v>
      </c>
      <c r="AI103" s="60"/>
      <c r="AJ103" s="124" t="s">
        <v>1608</v>
      </c>
      <c r="AK103" s="121" t="s">
        <v>608</v>
      </c>
      <c r="AL103" s="107"/>
      <c r="AM103" s="108"/>
      <c r="AN103" s="109"/>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10"/>
      <c r="CO103" s="111"/>
      <c r="CP103" s="110"/>
      <c r="CQ103" s="111"/>
      <c r="CR103" s="110"/>
      <c r="CS103" s="111"/>
      <c r="CT103" s="112">
        <f t="shared" si="25"/>
        <v>0</v>
      </c>
      <c r="CU103" s="113"/>
      <c r="CV103" s="114"/>
      <c r="CW103" s="115"/>
      <c r="CX103" s="116"/>
      <c r="CY103" s="117"/>
      <c r="CZ103" s="116"/>
      <c r="DA103" s="113"/>
      <c r="DB103" s="114"/>
      <c r="DC103" s="64"/>
      <c r="DD103" s="118"/>
    </row>
    <row r="104" spans="1:108" ht="108" outlineLevel="2">
      <c r="A104" s="178">
        <v>40491</v>
      </c>
      <c r="B104" s="164" t="s">
        <v>1233</v>
      </c>
      <c r="C104" s="164" t="s">
        <v>1110</v>
      </c>
      <c r="D104" s="166" t="s">
        <v>1262</v>
      </c>
      <c r="E104" s="163"/>
      <c r="F104" s="105"/>
      <c r="G104" s="105"/>
      <c r="H104" s="105">
        <v>1600</v>
      </c>
      <c r="I104" s="105">
        <v>327</v>
      </c>
      <c r="J104" s="105"/>
      <c r="K104" s="105">
        <v>327</v>
      </c>
      <c r="L104" s="105"/>
      <c r="M104" s="105"/>
      <c r="N104" s="105"/>
      <c r="O104" s="105"/>
      <c r="P104" s="105"/>
      <c r="Q104" s="105"/>
      <c r="R104" s="105"/>
      <c r="S104" s="105"/>
      <c r="T104" s="106"/>
      <c r="U104" s="130"/>
      <c r="V104" s="1"/>
      <c r="W104" s="68">
        <f t="shared" si="21"/>
        <v>0</v>
      </c>
      <c r="X104" s="68">
        <f t="shared" si="22"/>
        <v>0</v>
      </c>
      <c r="Y104" s="68">
        <f t="shared" si="23"/>
        <v>0</v>
      </c>
      <c r="Z104" s="68">
        <f t="shared" si="24"/>
        <v>0</v>
      </c>
      <c r="AA104" s="68"/>
      <c r="AB104" s="68">
        <v>0</v>
      </c>
      <c r="AC104" s="69">
        <f t="shared" si="20"/>
        <v>0</v>
      </c>
      <c r="AD104" s="70">
        <v>0</v>
      </c>
      <c r="AE104" s="63">
        <v>40494</v>
      </c>
      <c r="AF104" s="72"/>
      <c r="AG104" s="63" t="s">
        <v>954</v>
      </c>
      <c r="AH104" s="23" t="s">
        <v>955</v>
      </c>
      <c r="AI104" s="60"/>
      <c r="AJ104" s="124" t="s">
        <v>7</v>
      </c>
      <c r="AK104" s="121" t="s">
        <v>563</v>
      </c>
      <c r="AL104" s="107"/>
      <c r="AM104" s="108"/>
      <c r="AN104" s="109"/>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10"/>
      <c r="CO104" s="111"/>
      <c r="CP104" s="110"/>
      <c r="CQ104" s="111"/>
      <c r="CR104" s="110"/>
      <c r="CS104" s="111"/>
      <c r="CT104" s="112">
        <f t="shared" si="25"/>
        <v>0</v>
      </c>
      <c r="CU104" s="113"/>
      <c r="CV104" s="114"/>
      <c r="CW104" s="115"/>
      <c r="CX104" s="116"/>
      <c r="CY104" s="117"/>
      <c r="CZ104" s="116"/>
      <c r="DA104" s="113"/>
      <c r="DB104" s="114"/>
      <c r="DC104" s="64"/>
      <c r="DD104" s="118"/>
    </row>
    <row r="105" spans="1:108" outlineLevel="2">
      <c r="A105" s="178">
        <v>40493</v>
      </c>
      <c r="B105" s="164" t="s">
        <v>1233</v>
      </c>
      <c r="C105" s="164" t="s">
        <v>868</v>
      </c>
      <c r="D105" s="165" t="s">
        <v>1182</v>
      </c>
      <c r="E105" s="163">
        <v>1</v>
      </c>
      <c r="F105" s="105">
        <v>1</v>
      </c>
      <c r="G105" s="105"/>
      <c r="H105" s="105">
        <v>85</v>
      </c>
      <c r="I105" s="105">
        <v>17</v>
      </c>
      <c r="J105" s="105">
        <v>2</v>
      </c>
      <c r="K105" s="105">
        <v>15</v>
      </c>
      <c r="L105" s="105"/>
      <c r="M105" s="105"/>
      <c r="N105" s="105"/>
      <c r="O105" s="105"/>
      <c r="P105" s="105"/>
      <c r="Q105" s="105"/>
      <c r="R105" s="105"/>
      <c r="S105" s="105"/>
      <c r="T105" s="106"/>
      <c r="U105" s="130"/>
      <c r="V105" s="1"/>
      <c r="W105" s="68">
        <f t="shared" si="21"/>
        <v>0</v>
      </c>
      <c r="X105" s="68">
        <f t="shared" si="22"/>
        <v>0</v>
      </c>
      <c r="Y105" s="68">
        <f t="shared" si="23"/>
        <v>0</v>
      </c>
      <c r="Z105" s="68">
        <f t="shared" si="24"/>
        <v>0</v>
      </c>
      <c r="AA105" s="68"/>
      <c r="AB105" s="68">
        <v>0</v>
      </c>
      <c r="AC105" s="69">
        <f t="shared" si="20"/>
        <v>0</v>
      </c>
      <c r="AD105" s="70">
        <v>0</v>
      </c>
      <c r="AE105" s="63">
        <v>40497</v>
      </c>
      <c r="AF105" s="72"/>
      <c r="AG105" s="63" t="s">
        <v>938</v>
      </c>
      <c r="AH105" s="23" t="s">
        <v>939</v>
      </c>
      <c r="AI105" s="60"/>
      <c r="AJ105" s="124" t="s">
        <v>1608</v>
      </c>
      <c r="AK105" s="121" t="s">
        <v>36</v>
      </c>
      <c r="AL105" s="107"/>
      <c r="AM105" s="108"/>
      <c r="AN105" s="109"/>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10"/>
      <c r="CO105" s="111"/>
      <c r="CP105" s="110"/>
      <c r="CQ105" s="111"/>
      <c r="CR105" s="110"/>
      <c r="CS105" s="111"/>
      <c r="CT105" s="112">
        <f t="shared" si="25"/>
        <v>0</v>
      </c>
      <c r="CU105" s="113"/>
      <c r="CV105" s="114"/>
      <c r="CW105" s="115"/>
      <c r="CX105" s="116"/>
      <c r="CY105" s="117"/>
      <c r="CZ105" s="116"/>
      <c r="DA105" s="113"/>
      <c r="DB105" s="114"/>
      <c r="DC105" s="64"/>
      <c r="DD105" s="118"/>
    </row>
    <row r="106" spans="1:108" ht="24" outlineLevel="2">
      <c r="A106" s="178">
        <v>40493</v>
      </c>
      <c r="B106" s="164" t="s">
        <v>1233</v>
      </c>
      <c r="C106" s="164" t="s">
        <v>1234</v>
      </c>
      <c r="D106" s="166" t="s">
        <v>1262</v>
      </c>
      <c r="E106" s="163"/>
      <c r="F106" s="105"/>
      <c r="G106" s="105"/>
      <c r="H106" s="105"/>
      <c r="I106" s="105"/>
      <c r="J106" s="105"/>
      <c r="K106" s="105"/>
      <c r="L106" s="105"/>
      <c r="M106" s="105"/>
      <c r="N106" s="105"/>
      <c r="O106" s="105"/>
      <c r="P106" s="105"/>
      <c r="Q106" s="105">
        <v>1</v>
      </c>
      <c r="R106" s="105"/>
      <c r="S106" s="105"/>
      <c r="T106" s="106"/>
      <c r="U106" s="130"/>
      <c r="V106" s="1"/>
      <c r="W106" s="68">
        <f t="shared" si="21"/>
        <v>0</v>
      </c>
      <c r="X106" s="68">
        <f t="shared" si="22"/>
        <v>0</v>
      </c>
      <c r="Y106" s="68">
        <f t="shared" si="23"/>
        <v>0</v>
      </c>
      <c r="Z106" s="68">
        <f t="shared" si="24"/>
        <v>0</v>
      </c>
      <c r="AA106" s="68"/>
      <c r="AB106" s="68">
        <v>0</v>
      </c>
      <c r="AC106" s="69">
        <f t="shared" si="20"/>
        <v>0</v>
      </c>
      <c r="AD106" s="70">
        <v>0</v>
      </c>
      <c r="AE106" s="63">
        <v>40497</v>
      </c>
      <c r="AF106" s="72"/>
      <c r="AG106" s="63" t="s">
        <v>938</v>
      </c>
      <c r="AH106" s="23" t="s">
        <v>939</v>
      </c>
      <c r="AI106" s="60"/>
      <c r="AJ106" s="124" t="s">
        <v>1608</v>
      </c>
      <c r="AK106" s="121" t="s">
        <v>10</v>
      </c>
      <c r="AL106" s="107"/>
      <c r="AM106" s="108"/>
      <c r="AN106" s="109"/>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10"/>
      <c r="CO106" s="111"/>
      <c r="CP106" s="110"/>
      <c r="CQ106" s="111"/>
      <c r="CR106" s="110"/>
      <c r="CS106" s="111"/>
      <c r="CT106" s="112">
        <f t="shared" si="25"/>
        <v>0</v>
      </c>
      <c r="CU106" s="113"/>
      <c r="CV106" s="114"/>
      <c r="CW106" s="115"/>
      <c r="CX106" s="116"/>
      <c r="CY106" s="117"/>
      <c r="CZ106" s="116"/>
      <c r="DA106" s="113"/>
      <c r="DB106" s="114"/>
      <c r="DC106" s="64"/>
      <c r="DD106" s="118"/>
    </row>
    <row r="107" spans="1:108" ht="48" outlineLevel="2">
      <c r="A107" s="178">
        <v>40493</v>
      </c>
      <c r="B107" s="164" t="s">
        <v>1233</v>
      </c>
      <c r="C107" s="164" t="s">
        <v>1547</v>
      </c>
      <c r="D107" s="166" t="s">
        <v>1262</v>
      </c>
      <c r="E107" s="163"/>
      <c r="F107" s="105"/>
      <c r="G107" s="105"/>
      <c r="H107" s="105">
        <v>700</v>
      </c>
      <c r="I107" s="105">
        <v>140</v>
      </c>
      <c r="J107" s="105"/>
      <c r="K107" s="105">
        <v>140</v>
      </c>
      <c r="L107" s="105"/>
      <c r="M107" s="105"/>
      <c r="N107" s="105"/>
      <c r="O107" s="105"/>
      <c r="P107" s="105"/>
      <c r="Q107" s="105"/>
      <c r="R107" s="105"/>
      <c r="S107" s="105"/>
      <c r="T107" s="106"/>
      <c r="U107" s="130"/>
      <c r="V107" s="1"/>
      <c r="W107" s="68">
        <f t="shared" si="21"/>
        <v>0</v>
      </c>
      <c r="X107" s="68">
        <f t="shared" si="22"/>
        <v>0</v>
      </c>
      <c r="Y107" s="68">
        <f t="shared" si="23"/>
        <v>0</v>
      </c>
      <c r="Z107" s="68">
        <f t="shared" si="24"/>
        <v>0</v>
      </c>
      <c r="AA107" s="68"/>
      <c r="AB107" s="68">
        <v>0</v>
      </c>
      <c r="AC107" s="69">
        <f t="shared" si="20"/>
        <v>0</v>
      </c>
      <c r="AD107" s="70">
        <v>0</v>
      </c>
      <c r="AE107" s="63">
        <v>40497</v>
      </c>
      <c r="AF107" s="72"/>
      <c r="AG107" s="63" t="s">
        <v>938</v>
      </c>
      <c r="AH107" s="23" t="s">
        <v>939</v>
      </c>
      <c r="AI107" s="60"/>
      <c r="AJ107" s="124" t="s">
        <v>1608</v>
      </c>
      <c r="AK107" s="121" t="s">
        <v>17</v>
      </c>
      <c r="AL107" s="107"/>
      <c r="AM107" s="108"/>
      <c r="AN107" s="109"/>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10"/>
      <c r="CO107" s="111"/>
      <c r="CP107" s="110"/>
      <c r="CQ107" s="111"/>
      <c r="CR107" s="110"/>
      <c r="CS107" s="111"/>
      <c r="CT107" s="112">
        <f t="shared" si="25"/>
        <v>0</v>
      </c>
      <c r="CU107" s="113"/>
      <c r="CV107" s="114"/>
      <c r="CW107" s="115"/>
      <c r="CX107" s="116"/>
      <c r="CY107" s="117"/>
      <c r="CZ107" s="116"/>
      <c r="DA107" s="113"/>
      <c r="DB107" s="114"/>
      <c r="DC107" s="64"/>
      <c r="DD107" s="118"/>
    </row>
    <row r="108" spans="1:108" ht="24" outlineLevel="2">
      <c r="A108" s="178">
        <v>40494</v>
      </c>
      <c r="B108" s="164" t="s">
        <v>1233</v>
      </c>
      <c r="C108" s="164" t="s">
        <v>1859</v>
      </c>
      <c r="D108" s="166" t="s">
        <v>1262</v>
      </c>
      <c r="E108" s="163"/>
      <c r="F108" s="105"/>
      <c r="G108" s="105"/>
      <c r="H108" s="105">
        <v>1250</v>
      </c>
      <c r="I108" s="105">
        <v>250</v>
      </c>
      <c r="J108" s="105"/>
      <c r="K108" s="105">
        <v>250</v>
      </c>
      <c r="L108" s="105"/>
      <c r="M108" s="105"/>
      <c r="N108" s="105"/>
      <c r="O108" s="105"/>
      <c r="P108" s="105"/>
      <c r="Q108" s="105"/>
      <c r="R108" s="105"/>
      <c r="S108" s="105"/>
      <c r="T108" s="106"/>
      <c r="U108" s="130"/>
      <c r="V108" s="1"/>
      <c r="W108" s="68">
        <f t="shared" si="21"/>
        <v>0</v>
      </c>
      <c r="X108" s="68">
        <f t="shared" si="22"/>
        <v>0</v>
      </c>
      <c r="Y108" s="68">
        <f t="shared" si="23"/>
        <v>0</v>
      </c>
      <c r="Z108" s="68">
        <f t="shared" si="24"/>
        <v>0</v>
      </c>
      <c r="AA108" s="68"/>
      <c r="AB108" s="68">
        <v>0</v>
      </c>
      <c r="AC108" s="69">
        <f t="shared" si="20"/>
        <v>0</v>
      </c>
      <c r="AD108" s="70">
        <v>0</v>
      </c>
      <c r="AE108" s="63">
        <v>40497</v>
      </c>
      <c r="AF108" s="72"/>
      <c r="AG108" s="63" t="s">
        <v>938</v>
      </c>
      <c r="AH108" s="23" t="s">
        <v>939</v>
      </c>
      <c r="AI108" s="60"/>
      <c r="AJ108" s="124" t="s">
        <v>1608</v>
      </c>
      <c r="AK108" s="121" t="s">
        <v>16</v>
      </c>
      <c r="AL108" s="107"/>
      <c r="AM108" s="108"/>
      <c r="AN108" s="109"/>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10"/>
      <c r="CO108" s="111"/>
      <c r="CP108" s="110"/>
      <c r="CQ108" s="111"/>
      <c r="CR108" s="110"/>
      <c r="CS108" s="111"/>
      <c r="CT108" s="112">
        <f t="shared" si="25"/>
        <v>0</v>
      </c>
      <c r="CU108" s="113"/>
      <c r="CV108" s="114"/>
      <c r="CW108" s="115"/>
      <c r="CX108" s="116"/>
      <c r="CY108" s="117"/>
      <c r="CZ108" s="116"/>
      <c r="DA108" s="113"/>
      <c r="DB108" s="114"/>
      <c r="DC108" s="64"/>
      <c r="DD108" s="118"/>
    </row>
    <row r="109" spans="1:108" ht="24" outlineLevel="2">
      <c r="A109" s="178">
        <v>40494</v>
      </c>
      <c r="B109" s="164" t="s">
        <v>1233</v>
      </c>
      <c r="C109" s="164" t="s">
        <v>1137</v>
      </c>
      <c r="D109" s="166" t="s">
        <v>1262</v>
      </c>
      <c r="E109" s="163"/>
      <c r="F109" s="105"/>
      <c r="G109" s="105"/>
      <c r="H109" s="105">
        <v>70</v>
      </c>
      <c r="I109" s="105">
        <v>14</v>
      </c>
      <c r="J109" s="105">
        <v>2</v>
      </c>
      <c r="K109" s="105">
        <v>12</v>
      </c>
      <c r="L109" s="105"/>
      <c r="M109" s="105"/>
      <c r="N109" s="105"/>
      <c r="O109" s="105"/>
      <c r="P109" s="105"/>
      <c r="Q109" s="105"/>
      <c r="R109" s="105"/>
      <c r="S109" s="105"/>
      <c r="T109" s="106"/>
      <c r="U109" s="130"/>
      <c r="V109" s="1"/>
      <c r="W109" s="68">
        <f t="shared" si="21"/>
        <v>0</v>
      </c>
      <c r="X109" s="68">
        <f t="shared" si="22"/>
        <v>0</v>
      </c>
      <c r="Y109" s="68">
        <f t="shared" si="23"/>
        <v>0</v>
      </c>
      <c r="Z109" s="68">
        <f t="shared" si="24"/>
        <v>0</v>
      </c>
      <c r="AA109" s="68"/>
      <c r="AB109" s="68">
        <v>0</v>
      </c>
      <c r="AC109" s="69">
        <f t="shared" si="20"/>
        <v>0</v>
      </c>
      <c r="AD109" s="70">
        <v>0</v>
      </c>
      <c r="AE109" s="63">
        <v>40497</v>
      </c>
      <c r="AF109" s="72"/>
      <c r="AG109" s="63" t="s">
        <v>938</v>
      </c>
      <c r="AH109" s="23" t="s">
        <v>939</v>
      </c>
      <c r="AI109" s="60"/>
      <c r="AJ109" s="124" t="s">
        <v>1608</v>
      </c>
      <c r="AK109" s="121" t="s">
        <v>18</v>
      </c>
      <c r="AL109" s="107"/>
      <c r="AM109" s="108"/>
      <c r="AN109" s="109"/>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10"/>
      <c r="CO109" s="111"/>
      <c r="CP109" s="110"/>
      <c r="CQ109" s="111"/>
      <c r="CR109" s="110"/>
      <c r="CS109" s="111"/>
      <c r="CT109" s="112">
        <f t="shared" si="25"/>
        <v>0</v>
      </c>
      <c r="CU109" s="113"/>
      <c r="CV109" s="114"/>
      <c r="CW109" s="115"/>
      <c r="CX109" s="116"/>
      <c r="CY109" s="117"/>
      <c r="CZ109" s="116"/>
      <c r="DA109" s="113"/>
      <c r="DB109" s="114"/>
      <c r="DC109" s="64"/>
      <c r="DD109" s="118"/>
    </row>
    <row r="110" spans="1:108" ht="84" outlineLevel="2">
      <c r="A110" s="178">
        <v>40496</v>
      </c>
      <c r="B110" s="164" t="s">
        <v>1233</v>
      </c>
      <c r="C110" s="164" t="s">
        <v>40</v>
      </c>
      <c r="D110" s="166" t="s">
        <v>1262</v>
      </c>
      <c r="E110" s="163"/>
      <c r="F110" s="105"/>
      <c r="G110" s="105"/>
      <c r="H110" s="105">
        <v>150</v>
      </c>
      <c r="I110" s="105">
        <v>30</v>
      </c>
      <c r="J110" s="105">
        <v>6</v>
      </c>
      <c r="K110" s="105">
        <v>24</v>
      </c>
      <c r="L110" s="105"/>
      <c r="M110" s="105"/>
      <c r="N110" s="105"/>
      <c r="O110" s="105"/>
      <c r="P110" s="105"/>
      <c r="Q110" s="105"/>
      <c r="R110" s="105"/>
      <c r="S110" s="105"/>
      <c r="T110" s="106"/>
      <c r="U110" s="130"/>
      <c r="V110" s="1"/>
      <c r="W110" s="68">
        <f t="shared" si="21"/>
        <v>0</v>
      </c>
      <c r="X110" s="68">
        <f t="shared" si="22"/>
        <v>0</v>
      </c>
      <c r="Y110" s="68">
        <f t="shared" si="23"/>
        <v>0</v>
      </c>
      <c r="Z110" s="68">
        <f t="shared" si="24"/>
        <v>0</v>
      </c>
      <c r="AA110" s="68"/>
      <c r="AB110" s="68">
        <v>0</v>
      </c>
      <c r="AC110" s="69">
        <f t="shared" si="20"/>
        <v>0</v>
      </c>
      <c r="AD110" s="70">
        <v>0</v>
      </c>
      <c r="AE110" s="63">
        <v>40497</v>
      </c>
      <c r="AF110" s="72"/>
      <c r="AG110" s="63" t="s">
        <v>938</v>
      </c>
      <c r="AH110" s="23" t="s">
        <v>939</v>
      </c>
      <c r="AI110" s="60"/>
      <c r="AJ110" s="124" t="s">
        <v>1608</v>
      </c>
      <c r="AK110" s="121" t="s">
        <v>2136</v>
      </c>
      <c r="AL110" s="107"/>
      <c r="AM110" s="108"/>
      <c r="AN110" s="109"/>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10"/>
      <c r="CO110" s="111"/>
      <c r="CP110" s="110"/>
      <c r="CQ110" s="111"/>
      <c r="CR110" s="110"/>
      <c r="CS110" s="111"/>
      <c r="CT110" s="112">
        <f t="shared" si="25"/>
        <v>0</v>
      </c>
      <c r="CU110" s="113"/>
      <c r="CV110" s="114"/>
      <c r="CW110" s="115"/>
      <c r="CX110" s="116"/>
      <c r="CY110" s="117"/>
      <c r="CZ110" s="116"/>
      <c r="DA110" s="113"/>
      <c r="DB110" s="114"/>
      <c r="DC110" s="64"/>
      <c r="DD110" s="118"/>
    </row>
    <row r="111" spans="1:108" ht="24" outlineLevel="2">
      <c r="A111" s="178">
        <v>40496</v>
      </c>
      <c r="B111" s="164" t="s">
        <v>1233</v>
      </c>
      <c r="C111" s="164" t="s">
        <v>868</v>
      </c>
      <c r="D111" s="165" t="s">
        <v>1182</v>
      </c>
      <c r="E111" s="163">
        <v>4</v>
      </c>
      <c r="F111" s="105"/>
      <c r="G111" s="105"/>
      <c r="H111" s="105">
        <v>130</v>
      </c>
      <c r="I111" s="105">
        <v>26</v>
      </c>
      <c r="J111" s="105">
        <v>7</v>
      </c>
      <c r="K111" s="105">
        <v>19</v>
      </c>
      <c r="L111" s="105"/>
      <c r="M111" s="105"/>
      <c r="N111" s="105"/>
      <c r="O111" s="105"/>
      <c r="P111" s="105"/>
      <c r="Q111" s="105"/>
      <c r="R111" s="105"/>
      <c r="S111" s="105"/>
      <c r="T111" s="106"/>
      <c r="U111" s="130"/>
      <c r="V111" s="1"/>
      <c r="W111" s="68">
        <f t="shared" si="21"/>
        <v>0</v>
      </c>
      <c r="X111" s="68">
        <f t="shared" si="22"/>
        <v>0</v>
      </c>
      <c r="Y111" s="68">
        <f t="shared" si="23"/>
        <v>0</v>
      </c>
      <c r="Z111" s="68">
        <f t="shared" si="24"/>
        <v>0</v>
      </c>
      <c r="AA111" s="68"/>
      <c r="AB111" s="68">
        <v>0</v>
      </c>
      <c r="AC111" s="69">
        <f t="shared" si="20"/>
        <v>0</v>
      </c>
      <c r="AD111" s="70">
        <v>0</v>
      </c>
      <c r="AE111" s="63">
        <v>40497</v>
      </c>
      <c r="AF111" s="72"/>
      <c r="AG111" s="63" t="s">
        <v>938</v>
      </c>
      <c r="AH111" s="23" t="s">
        <v>939</v>
      </c>
      <c r="AI111" s="60"/>
      <c r="AJ111" s="124" t="s">
        <v>1608</v>
      </c>
      <c r="AK111" s="121" t="s">
        <v>33</v>
      </c>
      <c r="AL111" s="107"/>
      <c r="AM111" s="108"/>
      <c r="AN111" s="109"/>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10"/>
      <c r="CO111" s="111"/>
      <c r="CP111" s="110"/>
      <c r="CQ111" s="111"/>
      <c r="CR111" s="110"/>
      <c r="CS111" s="111"/>
      <c r="CT111" s="112">
        <f t="shared" si="25"/>
        <v>0</v>
      </c>
      <c r="CU111" s="113"/>
      <c r="CV111" s="114"/>
      <c r="CW111" s="115"/>
      <c r="CX111" s="116"/>
      <c r="CY111" s="117"/>
      <c r="CZ111" s="116"/>
      <c r="DA111" s="113"/>
      <c r="DB111" s="114"/>
      <c r="DC111" s="64"/>
      <c r="DD111" s="118"/>
    </row>
    <row r="112" spans="1:108" ht="48" outlineLevel="2">
      <c r="A112" s="178">
        <v>40500</v>
      </c>
      <c r="B112" s="164" t="s">
        <v>1233</v>
      </c>
      <c r="C112" s="164" t="s">
        <v>1516</v>
      </c>
      <c r="D112" s="165" t="s">
        <v>1182</v>
      </c>
      <c r="E112" s="163"/>
      <c r="F112" s="105">
        <v>6</v>
      </c>
      <c r="G112" s="105"/>
      <c r="H112" s="105"/>
      <c r="I112" s="105"/>
      <c r="J112" s="105"/>
      <c r="K112" s="105"/>
      <c r="L112" s="105"/>
      <c r="M112" s="105"/>
      <c r="N112" s="105"/>
      <c r="O112" s="105"/>
      <c r="P112" s="105"/>
      <c r="Q112" s="105"/>
      <c r="R112" s="105"/>
      <c r="S112" s="105"/>
      <c r="T112" s="106"/>
      <c r="U112" s="130"/>
      <c r="V112" s="1"/>
      <c r="W112" s="68">
        <f t="shared" si="21"/>
        <v>0</v>
      </c>
      <c r="X112" s="68">
        <f t="shared" si="22"/>
        <v>0</v>
      </c>
      <c r="Y112" s="68">
        <f t="shared" si="23"/>
        <v>0</v>
      </c>
      <c r="Z112" s="68">
        <f t="shared" si="24"/>
        <v>0</v>
      </c>
      <c r="AA112" s="68"/>
      <c r="AB112" s="68">
        <v>0</v>
      </c>
      <c r="AC112" s="69">
        <f t="shared" si="20"/>
        <v>0</v>
      </c>
      <c r="AD112" s="70">
        <v>0</v>
      </c>
      <c r="AE112" s="63">
        <v>40504</v>
      </c>
      <c r="AF112" s="72"/>
      <c r="AG112" s="63" t="s">
        <v>938</v>
      </c>
      <c r="AH112" s="23" t="s">
        <v>939</v>
      </c>
      <c r="AI112" s="60"/>
      <c r="AJ112" s="124" t="s">
        <v>1608</v>
      </c>
      <c r="AK112" s="121" t="s">
        <v>625</v>
      </c>
      <c r="AL112" s="107"/>
      <c r="AM112" s="108"/>
      <c r="AN112" s="109"/>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10"/>
      <c r="CO112" s="111"/>
      <c r="CP112" s="110"/>
      <c r="CQ112" s="111"/>
      <c r="CR112" s="110"/>
      <c r="CS112" s="111"/>
      <c r="CT112" s="112">
        <f t="shared" si="25"/>
        <v>0</v>
      </c>
      <c r="CU112" s="113"/>
      <c r="CV112" s="114"/>
      <c r="CW112" s="115"/>
      <c r="CX112" s="116"/>
      <c r="CY112" s="117"/>
      <c r="CZ112" s="116"/>
      <c r="DA112" s="113"/>
      <c r="DB112" s="114"/>
      <c r="DC112" s="64"/>
      <c r="DD112" s="118"/>
    </row>
    <row r="113" spans="1:108" ht="24" outlineLevel="2">
      <c r="A113" s="178">
        <v>40500</v>
      </c>
      <c r="B113" s="164" t="s">
        <v>1233</v>
      </c>
      <c r="C113" s="164" t="s">
        <v>1110</v>
      </c>
      <c r="D113" s="166" t="s">
        <v>1262</v>
      </c>
      <c r="E113" s="163"/>
      <c r="F113" s="105"/>
      <c r="G113" s="105"/>
      <c r="H113" s="105">
        <v>1600</v>
      </c>
      <c r="I113" s="105">
        <v>410</v>
      </c>
      <c r="J113" s="105"/>
      <c r="K113" s="105">
        <v>410</v>
      </c>
      <c r="L113" s="105"/>
      <c r="M113" s="105"/>
      <c r="N113" s="105"/>
      <c r="O113" s="105"/>
      <c r="P113" s="105"/>
      <c r="Q113" s="105"/>
      <c r="R113" s="105"/>
      <c r="S113" s="105"/>
      <c r="T113" s="106"/>
      <c r="U113" s="130"/>
      <c r="V113" s="1"/>
      <c r="W113" s="68">
        <f t="shared" si="21"/>
        <v>0</v>
      </c>
      <c r="X113" s="68">
        <f t="shared" si="22"/>
        <v>0</v>
      </c>
      <c r="Y113" s="68">
        <f t="shared" si="23"/>
        <v>0</v>
      </c>
      <c r="Z113" s="68">
        <f t="shared" si="24"/>
        <v>0</v>
      </c>
      <c r="AA113" s="68"/>
      <c r="AB113" s="68">
        <v>0</v>
      </c>
      <c r="AC113" s="69">
        <f t="shared" si="20"/>
        <v>0</v>
      </c>
      <c r="AD113" s="70">
        <v>0</v>
      </c>
      <c r="AE113" s="63">
        <v>40504</v>
      </c>
      <c r="AF113" s="72"/>
      <c r="AG113" s="63" t="s">
        <v>938</v>
      </c>
      <c r="AH113" s="23" t="s">
        <v>939</v>
      </c>
      <c r="AI113" s="60"/>
      <c r="AJ113" s="124" t="s">
        <v>1608</v>
      </c>
      <c r="AK113" s="121" t="s">
        <v>638</v>
      </c>
      <c r="AL113" s="107"/>
      <c r="AM113" s="108"/>
      <c r="AN113" s="109"/>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10"/>
      <c r="CO113" s="111"/>
      <c r="CP113" s="110"/>
      <c r="CQ113" s="111"/>
      <c r="CR113" s="110"/>
      <c r="CS113" s="111"/>
      <c r="CT113" s="112">
        <f t="shared" si="25"/>
        <v>0</v>
      </c>
      <c r="CU113" s="113"/>
      <c r="CV113" s="114"/>
      <c r="CW113" s="115"/>
      <c r="CX113" s="116"/>
      <c r="CY113" s="117"/>
      <c r="CZ113" s="116"/>
      <c r="DA113" s="113"/>
      <c r="DB113" s="114"/>
      <c r="DC113" s="64"/>
      <c r="DD113" s="118"/>
    </row>
    <row r="114" spans="1:108" outlineLevel="2">
      <c r="A114" s="178">
        <v>40501</v>
      </c>
      <c r="B114" s="164" t="s">
        <v>1233</v>
      </c>
      <c r="C114" s="164" t="s">
        <v>240</v>
      </c>
      <c r="D114" s="165" t="s">
        <v>1182</v>
      </c>
      <c r="E114" s="163"/>
      <c r="F114" s="105">
        <v>1</v>
      </c>
      <c r="G114" s="105"/>
      <c r="H114" s="105">
        <v>5</v>
      </c>
      <c r="I114" s="105">
        <v>1</v>
      </c>
      <c r="J114" s="105">
        <v>1</v>
      </c>
      <c r="K114" s="105"/>
      <c r="L114" s="105"/>
      <c r="M114" s="105"/>
      <c r="N114" s="105"/>
      <c r="O114" s="105"/>
      <c r="P114" s="105"/>
      <c r="Q114" s="105"/>
      <c r="R114" s="105"/>
      <c r="S114" s="105"/>
      <c r="T114" s="106"/>
      <c r="U114" s="130"/>
      <c r="V114" s="1"/>
      <c r="W114" s="68">
        <f t="shared" si="21"/>
        <v>0</v>
      </c>
      <c r="X114" s="68">
        <f t="shared" si="22"/>
        <v>0</v>
      </c>
      <c r="Y114" s="68">
        <f t="shared" si="23"/>
        <v>0</v>
      </c>
      <c r="Z114" s="68">
        <f t="shared" si="24"/>
        <v>0</v>
      </c>
      <c r="AA114" s="68"/>
      <c r="AB114" s="68">
        <v>0</v>
      </c>
      <c r="AC114" s="69">
        <f t="shared" si="20"/>
        <v>0</v>
      </c>
      <c r="AD114" s="70">
        <v>0</v>
      </c>
      <c r="AE114" s="63">
        <v>40504</v>
      </c>
      <c r="AF114" s="72"/>
      <c r="AG114" s="63" t="s">
        <v>938</v>
      </c>
      <c r="AH114" s="23" t="s">
        <v>939</v>
      </c>
      <c r="AI114" s="60"/>
      <c r="AJ114" s="124" t="s">
        <v>1608</v>
      </c>
      <c r="AK114" s="121" t="s">
        <v>653</v>
      </c>
      <c r="AL114" s="107"/>
      <c r="AM114" s="108"/>
      <c r="AN114" s="109"/>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10"/>
      <c r="CO114" s="111"/>
      <c r="CP114" s="110"/>
      <c r="CQ114" s="111"/>
      <c r="CR114" s="110"/>
      <c r="CS114" s="111"/>
      <c r="CT114" s="112">
        <f t="shared" si="25"/>
        <v>0</v>
      </c>
      <c r="CU114" s="113"/>
      <c r="CV114" s="114"/>
      <c r="CW114" s="115"/>
      <c r="CX114" s="116"/>
      <c r="CY114" s="117"/>
      <c r="CZ114" s="116"/>
      <c r="DA114" s="113"/>
      <c r="DB114" s="114"/>
      <c r="DC114" s="64"/>
      <c r="DD114" s="118"/>
    </row>
    <row r="115" spans="1:108" outlineLevel="2">
      <c r="A115" s="178">
        <v>40503</v>
      </c>
      <c r="B115" s="164" t="s">
        <v>1233</v>
      </c>
      <c r="C115" s="164" t="s">
        <v>645</v>
      </c>
      <c r="D115" s="165" t="s">
        <v>1182</v>
      </c>
      <c r="E115" s="163">
        <v>4</v>
      </c>
      <c r="F115" s="105"/>
      <c r="G115" s="105"/>
      <c r="H115" s="105"/>
      <c r="I115" s="105"/>
      <c r="J115" s="105"/>
      <c r="K115" s="105"/>
      <c r="L115" s="105"/>
      <c r="M115" s="105"/>
      <c r="N115" s="105"/>
      <c r="O115" s="105"/>
      <c r="P115" s="105"/>
      <c r="Q115" s="105"/>
      <c r="R115" s="105"/>
      <c r="S115" s="105"/>
      <c r="T115" s="106"/>
      <c r="U115" s="130"/>
      <c r="V115" s="1"/>
      <c r="W115" s="68">
        <f t="shared" si="21"/>
        <v>0</v>
      </c>
      <c r="X115" s="68">
        <f t="shared" si="22"/>
        <v>0</v>
      </c>
      <c r="Y115" s="68">
        <f t="shared" si="23"/>
        <v>0</v>
      </c>
      <c r="Z115" s="68">
        <f t="shared" si="24"/>
        <v>0</v>
      </c>
      <c r="AA115" s="68"/>
      <c r="AB115" s="68">
        <v>0</v>
      </c>
      <c r="AC115" s="69">
        <f t="shared" si="20"/>
        <v>0</v>
      </c>
      <c r="AD115" s="70">
        <v>0</v>
      </c>
      <c r="AE115" s="63">
        <v>40504</v>
      </c>
      <c r="AF115" s="72"/>
      <c r="AG115" s="63" t="s">
        <v>938</v>
      </c>
      <c r="AH115" s="23" t="s">
        <v>939</v>
      </c>
      <c r="AI115" s="60"/>
      <c r="AJ115" s="124" t="s">
        <v>1608</v>
      </c>
      <c r="AK115" s="121" t="s">
        <v>675</v>
      </c>
      <c r="AL115" s="107"/>
      <c r="AM115" s="108"/>
      <c r="AN115" s="109"/>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10"/>
      <c r="CO115" s="111"/>
      <c r="CP115" s="110"/>
      <c r="CQ115" s="111"/>
      <c r="CR115" s="110"/>
      <c r="CS115" s="111"/>
      <c r="CT115" s="112">
        <f t="shared" si="25"/>
        <v>0</v>
      </c>
      <c r="CU115" s="113"/>
      <c r="CV115" s="114"/>
      <c r="CW115" s="115"/>
      <c r="CX115" s="116"/>
      <c r="CY115" s="117"/>
      <c r="CZ115" s="116"/>
      <c r="DA115" s="113"/>
      <c r="DB115" s="114"/>
      <c r="DC115" s="64"/>
      <c r="DD115" s="118"/>
    </row>
    <row r="116" spans="1:108" outlineLevel="2">
      <c r="A116" s="178">
        <v>40503</v>
      </c>
      <c r="B116" s="164" t="s">
        <v>1233</v>
      </c>
      <c r="C116" s="164" t="s">
        <v>40</v>
      </c>
      <c r="D116" s="165" t="s">
        <v>1182</v>
      </c>
      <c r="E116" s="163">
        <v>1</v>
      </c>
      <c r="F116" s="105"/>
      <c r="G116" s="105"/>
      <c r="H116" s="105"/>
      <c r="I116" s="105"/>
      <c r="J116" s="105"/>
      <c r="K116" s="105"/>
      <c r="L116" s="105"/>
      <c r="M116" s="105"/>
      <c r="N116" s="105"/>
      <c r="O116" s="105"/>
      <c r="P116" s="105"/>
      <c r="Q116" s="105"/>
      <c r="R116" s="105"/>
      <c r="S116" s="105"/>
      <c r="T116" s="106"/>
      <c r="U116" s="130"/>
      <c r="V116" s="1"/>
      <c r="W116" s="68">
        <f t="shared" si="21"/>
        <v>0</v>
      </c>
      <c r="X116" s="68">
        <f t="shared" si="22"/>
        <v>0</v>
      </c>
      <c r="Y116" s="68">
        <f t="shared" si="23"/>
        <v>0</v>
      </c>
      <c r="Z116" s="68">
        <f t="shared" si="24"/>
        <v>0</v>
      </c>
      <c r="AA116" s="68"/>
      <c r="AB116" s="68">
        <v>0</v>
      </c>
      <c r="AC116" s="69">
        <f t="shared" si="20"/>
        <v>0</v>
      </c>
      <c r="AD116" s="70">
        <v>0</v>
      </c>
      <c r="AE116" s="63">
        <v>40504</v>
      </c>
      <c r="AF116" s="72"/>
      <c r="AG116" s="63" t="s">
        <v>938</v>
      </c>
      <c r="AH116" s="23" t="s">
        <v>939</v>
      </c>
      <c r="AI116" s="60"/>
      <c r="AJ116" s="124"/>
      <c r="AK116" s="121" t="s">
        <v>691</v>
      </c>
      <c r="AL116" s="107"/>
      <c r="AM116" s="108"/>
      <c r="AN116" s="109"/>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10"/>
      <c r="CO116" s="111"/>
      <c r="CP116" s="110"/>
      <c r="CQ116" s="111"/>
      <c r="CR116" s="110"/>
      <c r="CS116" s="111"/>
      <c r="CT116" s="112">
        <f t="shared" si="25"/>
        <v>0</v>
      </c>
      <c r="CU116" s="113"/>
      <c r="CV116" s="114"/>
      <c r="CW116" s="115"/>
      <c r="CX116" s="116"/>
      <c r="CY116" s="117"/>
      <c r="CZ116" s="116"/>
      <c r="DA116" s="113"/>
      <c r="DB116" s="114"/>
      <c r="DC116" s="64"/>
      <c r="DD116" s="118"/>
    </row>
    <row r="117" spans="1:108" ht="24" outlineLevel="2">
      <c r="A117" s="178">
        <v>40503</v>
      </c>
      <c r="B117" s="164" t="s">
        <v>1233</v>
      </c>
      <c r="C117" s="164" t="s">
        <v>1822</v>
      </c>
      <c r="D117" s="165" t="s">
        <v>1182</v>
      </c>
      <c r="E117" s="163"/>
      <c r="F117" s="105"/>
      <c r="G117" s="105"/>
      <c r="H117" s="105">
        <v>50</v>
      </c>
      <c r="I117" s="105">
        <v>10</v>
      </c>
      <c r="J117" s="105"/>
      <c r="K117" s="105">
        <v>10</v>
      </c>
      <c r="L117" s="105">
        <v>1</v>
      </c>
      <c r="M117" s="105"/>
      <c r="N117" s="105"/>
      <c r="O117" s="105"/>
      <c r="P117" s="105"/>
      <c r="Q117" s="105"/>
      <c r="R117" s="105"/>
      <c r="S117" s="105"/>
      <c r="T117" s="106"/>
      <c r="U117" s="130"/>
      <c r="V117" s="1"/>
      <c r="W117" s="68">
        <f t="shared" si="21"/>
        <v>0</v>
      </c>
      <c r="X117" s="68">
        <f t="shared" si="22"/>
        <v>0</v>
      </c>
      <c r="Y117" s="68">
        <f t="shared" si="23"/>
        <v>0</v>
      </c>
      <c r="Z117" s="68">
        <f t="shared" si="24"/>
        <v>0</v>
      </c>
      <c r="AA117" s="68"/>
      <c r="AB117" s="68">
        <v>0</v>
      </c>
      <c r="AC117" s="69">
        <f t="shared" si="20"/>
        <v>0</v>
      </c>
      <c r="AD117" s="70">
        <v>0</v>
      </c>
      <c r="AE117" s="63">
        <v>40505</v>
      </c>
      <c r="AF117" s="72"/>
      <c r="AG117" s="63" t="s">
        <v>938</v>
      </c>
      <c r="AH117" s="23" t="s">
        <v>939</v>
      </c>
      <c r="AI117" s="60"/>
      <c r="AJ117" s="124" t="s">
        <v>1608</v>
      </c>
      <c r="AK117" s="121" t="s">
        <v>716</v>
      </c>
      <c r="AL117" s="107"/>
      <c r="AM117" s="108"/>
      <c r="AN117" s="109"/>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10"/>
      <c r="CO117" s="111"/>
      <c r="CP117" s="110"/>
      <c r="CQ117" s="111"/>
      <c r="CR117" s="110"/>
      <c r="CS117" s="111"/>
      <c r="CT117" s="112">
        <f t="shared" si="25"/>
        <v>0</v>
      </c>
      <c r="CU117" s="113"/>
      <c r="CV117" s="114"/>
      <c r="CW117" s="115"/>
      <c r="CX117" s="116"/>
      <c r="CY117" s="117"/>
      <c r="CZ117" s="116"/>
      <c r="DA117" s="113"/>
      <c r="DB117" s="114"/>
      <c r="DC117" s="64"/>
      <c r="DD117" s="118"/>
    </row>
    <row r="118" spans="1:108" outlineLevel="2">
      <c r="A118" s="178">
        <v>40510</v>
      </c>
      <c r="B118" s="164" t="s">
        <v>1233</v>
      </c>
      <c r="C118" s="164" t="s">
        <v>1278</v>
      </c>
      <c r="D118" s="166" t="s">
        <v>1182</v>
      </c>
      <c r="E118" s="163"/>
      <c r="F118" s="105"/>
      <c r="G118" s="105"/>
      <c r="H118" s="105">
        <v>160</v>
      </c>
      <c r="I118" s="105">
        <v>32</v>
      </c>
      <c r="J118" s="105"/>
      <c r="K118" s="105">
        <v>32</v>
      </c>
      <c r="L118" s="105"/>
      <c r="M118" s="105"/>
      <c r="N118" s="105"/>
      <c r="O118" s="105"/>
      <c r="P118" s="105"/>
      <c r="Q118" s="105"/>
      <c r="R118" s="105"/>
      <c r="S118" s="105"/>
      <c r="T118" s="106"/>
      <c r="U118" s="130"/>
      <c r="V118" s="1"/>
      <c r="W118" s="68">
        <f t="shared" si="21"/>
        <v>0</v>
      </c>
      <c r="X118" s="68">
        <f t="shared" si="22"/>
        <v>0</v>
      </c>
      <c r="Y118" s="68">
        <f t="shared" si="23"/>
        <v>0</v>
      </c>
      <c r="Z118" s="68">
        <f t="shared" si="24"/>
        <v>0</v>
      </c>
      <c r="AA118" s="68"/>
      <c r="AB118" s="68">
        <v>0</v>
      </c>
      <c r="AC118" s="69">
        <f t="shared" si="20"/>
        <v>0</v>
      </c>
      <c r="AD118" s="70">
        <v>0</v>
      </c>
      <c r="AE118" s="63">
        <v>40512</v>
      </c>
      <c r="AF118" s="72"/>
      <c r="AG118" s="63" t="s">
        <v>938</v>
      </c>
      <c r="AH118" s="23" t="s">
        <v>939</v>
      </c>
      <c r="AI118" s="60"/>
      <c r="AJ118" s="124" t="s">
        <v>1608</v>
      </c>
      <c r="AK118" s="121" t="s">
        <v>2074</v>
      </c>
      <c r="AL118" s="107"/>
      <c r="AM118" s="108"/>
      <c r="AN118" s="109"/>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10"/>
      <c r="CO118" s="111"/>
      <c r="CP118" s="110"/>
      <c r="CQ118" s="111"/>
      <c r="CR118" s="110"/>
      <c r="CS118" s="111"/>
      <c r="CT118" s="112">
        <f t="shared" si="25"/>
        <v>0</v>
      </c>
      <c r="CU118" s="113"/>
      <c r="CV118" s="114"/>
      <c r="CW118" s="115"/>
      <c r="CX118" s="116"/>
      <c r="CY118" s="117"/>
      <c r="CZ118" s="116"/>
      <c r="DA118" s="113"/>
      <c r="DB118" s="114"/>
      <c r="DC118" s="64"/>
      <c r="DD118" s="118"/>
    </row>
    <row r="119" spans="1:108" ht="24" outlineLevel="2">
      <c r="A119" s="178">
        <v>40512</v>
      </c>
      <c r="B119" s="164" t="s">
        <v>1233</v>
      </c>
      <c r="C119" s="164" t="s">
        <v>868</v>
      </c>
      <c r="D119" s="166" t="s">
        <v>435</v>
      </c>
      <c r="E119" s="163"/>
      <c r="F119" s="105"/>
      <c r="G119" s="105"/>
      <c r="H119" s="105"/>
      <c r="I119" s="105"/>
      <c r="J119" s="105"/>
      <c r="K119" s="105"/>
      <c r="L119" s="105"/>
      <c r="M119" s="105"/>
      <c r="N119" s="105"/>
      <c r="O119" s="105"/>
      <c r="P119" s="105"/>
      <c r="Q119" s="105"/>
      <c r="R119" s="105"/>
      <c r="S119" s="105"/>
      <c r="T119" s="106"/>
      <c r="U119" s="130" t="s">
        <v>2112</v>
      </c>
      <c r="V119" s="1"/>
      <c r="W119" s="68">
        <f t="shared" si="21"/>
        <v>0</v>
      </c>
      <c r="X119" s="68">
        <f t="shared" si="22"/>
        <v>0</v>
      </c>
      <c r="Y119" s="68">
        <f t="shared" si="23"/>
        <v>0</v>
      </c>
      <c r="Z119" s="68">
        <f t="shared" si="24"/>
        <v>0</v>
      </c>
      <c r="AA119" s="68"/>
      <c r="AB119" s="68">
        <v>0</v>
      </c>
      <c r="AC119" s="69">
        <f t="shared" ref="AC119:AC124" si="26">W119+X119+Y119+Z119+AA119+AB119</f>
        <v>0</v>
      </c>
      <c r="AD119" s="70">
        <v>0</v>
      </c>
      <c r="AE119" s="63">
        <v>40513</v>
      </c>
      <c r="AF119" s="72"/>
      <c r="AG119" s="63" t="s">
        <v>938</v>
      </c>
      <c r="AH119" s="23" t="s">
        <v>939</v>
      </c>
      <c r="AI119" s="60"/>
      <c r="AJ119" s="124" t="s">
        <v>1608</v>
      </c>
      <c r="AK119" s="121" t="s">
        <v>2111</v>
      </c>
      <c r="AL119" s="107"/>
      <c r="AM119" s="108"/>
      <c r="AN119" s="109"/>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10"/>
      <c r="CO119" s="111"/>
      <c r="CP119" s="110"/>
      <c r="CQ119" s="111"/>
      <c r="CR119" s="110"/>
      <c r="CS119" s="111"/>
      <c r="CT119" s="112">
        <f t="shared" si="25"/>
        <v>0</v>
      </c>
      <c r="CU119" s="113"/>
      <c r="CV119" s="114"/>
      <c r="CW119" s="115"/>
      <c r="CX119" s="116"/>
      <c r="CY119" s="117"/>
      <c r="CZ119" s="116"/>
      <c r="DA119" s="113"/>
      <c r="DB119" s="114"/>
      <c r="DC119" s="64"/>
      <c r="DD119" s="118"/>
    </row>
    <row r="120" spans="1:108" ht="36" outlineLevel="2">
      <c r="A120" s="178">
        <v>40517</v>
      </c>
      <c r="B120" s="164" t="s">
        <v>1233</v>
      </c>
      <c r="C120" s="164" t="s">
        <v>1859</v>
      </c>
      <c r="D120" s="166" t="s">
        <v>1182</v>
      </c>
      <c r="E120" s="163">
        <v>62</v>
      </c>
      <c r="F120" s="105">
        <v>10</v>
      </c>
      <c r="G120" s="105">
        <v>52</v>
      </c>
      <c r="H120" s="105">
        <f>147*5</f>
        <v>735</v>
      </c>
      <c r="I120" s="105">
        <v>147</v>
      </c>
      <c r="J120" s="105">
        <v>40</v>
      </c>
      <c r="K120" s="105">
        <v>107</v>
      </c>
      <c r="L120" s="105"/>
      <c r="M120" s="105"/>
      <c r="N120" s="105"/>
      <c r="O120" s="105"/>
      <c r="P120" s="105"/>
      <c r="Q120" s="105"/>
      <c r="R120" s="105"/>
      <c r="S120" s="105"/>
      <c r="T120" s="106"/>
      <c r="U120" s="130"/>
      <c r="V120" s="1"/>
      <c r="W120" s="68">
        <f t="shared" si="21"/>
        <v>0</v>
      </c>
      <c r="X120" s="68">
        <f t="shared" si="22"/>
        <v>0</v>
      </c>
      <c r="Y120" s="68">
        <f t="shared" si="23"/>
        <v>0</v>
      </c>
      <c r="Z120" s="68">
        <f t="shared" si="24"/>
        <v>0</v>
      </c>
      <c r="AA120" s="68"/>
      <c r="AB120" s="68">
        <v>0</v>
      </c>
      <c r="AC120" s="69">
        <f t="shared" si="26"/>
        <v>0</v>
      </c>
      <c r="AD120" s="70">
        <v>0</v>
      </c>
      <c r="AE120" s="63"/>
      <c r="AF120" s="72"/>
      <c r="AG120" s="63"/>
      <c r="AH120" s="23"/>
      <c r="AI120" s="60"/>
      <c r="AJ120" s="124"/>
      <c r="AK120" s="121" t="s">
        <v>116</v>
      </c>
      <c r="AL120" s="107"/>
      <c r="AM120" s="108"/>
      <c r="AN120" s="109"/>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10"/>
      <c r="CO120" s="111"/>
      <c r="CP120" s="110"/>
      <c r="CQ120" s="111"/>
      <c r="CR120" s="110"/>
      <c r="CS120" s="111"/>
      <c r="CT120" s="112">
        <f t="shared" si="25"/>
        <v>0</v>
      </c>
      <c r="CU120" s="113"/>
      <c r="CV120" s="114"/>
      <c r="CW120" s="115"/>
      <c r="CX120" s="116"/>
      <c r="CY120" s="117"/>
      <c r="CZ120" s="116"/>
      <c r="DA120" s="113"/>
      <c r="DB120" s="114"/>
      <c r="DC120" s="64"/>
      <c r="DD120" s="118"/>
    </row>
    <row r="121" spans="1:108" ht="36" outlineLevel="2">
      <c r="A121" s="178">
        <v>40525</v>
      </c>
      <c r="B121" s="164" t="s">
        <v>1233</v>
      </c>
      <c r="C121" s="164" t="s">
        <v>851</v>
      </c>
      <c r="D121" s="166" t="s">
        <v>1262</v>
      </c>
      <c r="E121" s="163"/>
      <c r="F121" s="105"/>
      <c r="G121" s="105"/>
      <c r="H121" s="105">
        <v>243</v>
      </c>
      <c r="I121" s="105">
        <v>57</v>
      </c>
      <c r="J121" s="105"/>
      <c r="K121" s="105">
        <v>57</v>
      </c>
      <c r="L121" s="105"/>
      <c r="M121" s="105"/>
      <c r="N121" s="105"/>
      <c r="O121" s="105"/>
      <c r="P121" s="105"/>
      <c r="Q121" s="105"/>
      <c r="R121" s="105"/>
      <c r="S121" s="105"/>
      <c r="T121" s="106"/>
      <c r="U121" s="130"/>
      <c r="V121" s="1"/>
      <c r="W121" s="68">
        <f t="shared" si="21"/>
        <v>0</v>
      </c>
      <c r="X121" s="68">
        <f t="shared" si="22"/>
        <v>0</v>
      </c>
      <c r="Y121" s="68">
        <f t="shared" si="23"/>
        <v>0</v>
      </c>
      <c r="Z121" s="68">
        <f t="shared" si="24"/>
        <v>0</v>
      </c>
      <c r="AA121" s="68"/>
      <c r="AB121" s="68">
        <v>0</v>
      </c>
      <c r="AC121" s="69">
        <f t="shared" si="26"/>
        <v>0</v>
      </c>
      <c r="AD121" s="70">
        <v>0</v>
      </c>
      <c r="AE121" s="63"/>
      <c r="AF121" s="72"/>
      <c r="AG121" s="63"/>
      <c r="AH121" s="23"/>
      <c r="AI121" s="60"/>
      <c r="AJ121" s="124"/>
      <c r="AK121" s="121" t="s">
        <v>2432</v>
      </c>
      <c r="AL121" s="107"/>
      <c r="AM121" s="108"/>
      <c r="AN121" s="109"/>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10"/>
      <c r="CO121" s="111"/>
      <c r="CP121" s="110"/>
      <c r="CQ121" s="111"/>
      <c r="CR121" s="110"/>
      <c r="CS121" s="111"/>
      <c r="CT121" s="112">
        <f t="shared" si="25"/>
        <v>0</v>
      </c>
      <c r="CU121" s="113"/>
      <c r="CV121" s="114"/>
      <c r="CW121" s="115"/>
      <c r="CX121" s="116"/>
      <c r="CY121" s="117"/>
      <c r="CZ121" s="116"/>
      <c r="DA121" s="113"/>
      <c r="DB121" s="114"/>
      <c r="DC121" s="64"/>
      <c r="DD121" s="118"/>
    </row>
    <row r="122" spans="1:108" ht="36" outlineLevel="2">
      <c r="A122" s="178">
        <v>40525</v>
      </c>
      <c r="B122" s="164" t="s">
        <v>1233</v>
      </c>
      <c r="C122" s="164" t="s">
        <v>2421</v>
      </c>
      <c r="D122" s="166" t="s">
        <v>1262</v>
      </c>
      <c r="E122" s="163">
        <v>1</v>
      </c>
      <c r="F122" s="105"/>
      <c r="G122" s="105"/>
      <c r="H122" s="105">
        <v>600</v>
      </c>
      <c r="I122" s="105">
        <v>120</v>
      </c>
      <c r="J122" s="105"/>
      <c r="K122" s="105">
        <v>120</v>
      </c>
      <c r="L122" s="105"/>
      <c r="M122" s="105"/>
      <c r="N122" s="105"/>
      <c r="O122" s="105"/>
      <c r="P122" s="105"/>
      <c r="Q122" s="105"/>
      <c r="R122" s="105"/>
      <c r="S122" s="105"/>
      <c r="T122" s="106"/>
      <c r="U122" s="130"/>
      <c r="V122" s="1"/>
      <c r="W122" s="68">
        <f t="shared" si="21"/>
        <v>0</v>
      </c>
      <c r="X122" s="68">
        <f t="shared" si="22"/>
        <v>0</v>
      </c>
      <c r="Y122" s="68">
        <f t="shared" si="23"/>
        <v>0</v>
      </c>
      <c r="Z122" s="68">
        <f t="shared" si="24"/>
        <v>0</v>
      </c>
      <c r="AA122" s="68"/>
      <c r="AB122" s="68">
        <v>0</v>
      </c>
      <c r="AC122" s="69">
        <f t="shared" si="26"/>
        <v>0</v>
      </c>
      <c r="AD122" s="70">
        <v>0</v>
      </c>
      <c r="AE122" s="63"/>
      <c r="AF122" s="72"/>
      <c r="AG122" s="63"/>
      <c r="AH122" s="23"/>
      <c r="AI122" s="60"/>
      <c r="AJ122" s="124"/>
      <c r="AK122" s="121" t="s">
        <v>2422</v>
      </c>
      <c r="AL122" s="107"/>
      <c r="AM122" s="108"/>
      <c r="AN122" s="109"/>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10"/>
      <c r="CO122" s="111"/>
      <c r="CP122" s="110"/>
      <c r="CQ122" s="111"/>
      <c r="CR122" s="110"/>
      <c r="CS122" s="111"/>
      <c r="CT122" s="112">
        <f t="shared" si="25"/>
        <v>0</v>
      </c>
      <c r="CU122" s="113"/>
      <c r="CV122" s="114"/>
      <c r="CW122" s="115"/>
      <c r="CX122" s="116"/>
      <c r="CY122" s="117"/>
      <c r="CZ122" s="116"/>
      <c r="DA122" s="113"/>
      <c r="DB122" s="114"/>
      <c r="DC122" s="64"/>
      <c r="DD122" s="118"/>
    </row>
    <row r="123" spans="1:108" ht="24" outlineLevel="2">
      <c r="A123" s="178">
        <v>40525</v>
      </c>
      <c r="B123" s="164" t="s">
        <v>1233</v>
      </c>
      <c r="C123" s="164" t="s">
        <v>2423</v>
      </c>
      <c r="D123" s="166" t="s">
        <v>1182</v>
      </c>
      <c r="E123" s="163">
        <v>3</v>
      </c>
      <c r="F123" s="105"/>
      <c r="G123" s="105"/>
      <c r="H123" s="105"/>
      <c r="I123" s="105"/>
      <c r="J123" s="105"/>
      <c r="K123" s="105"/>
      <c r="L123" s="105"/>
      <c r="M123" s="105"/>
      <c r="N123" s="105"/>
      <c r="O123" s="105"/>
      <c r="P123" s="105"/>
      <c r="Q123" s="105"/>
      <c r="R123" s="105"/>
      <c r="S123" s="105"/>
      <c r="T123" s="106"/>
      <c r="U123" s="130"/>
      <c r="V123" s="1"/>
      <c r="W123" s="68">
        <f t="shared" si="21"/>
        <v>0</v>
      </c>
      <c r="X123" s="68">
        <f t="shared" si="22"/>
        <v>0</v>
      </c>
      <c r="Y123" s="68">
        <f t="shared" si="23"/>
        <v>0</v>
      </c>
      <c r="Z123" s="68">
        <f t="shared" si="24"/>
        <v>0</v>
      </c>
      <c r="AA123" s="68"/>
      <c r="AB123" s="68">
        <v>0</v>
      </c>
      <c r="AC123" s="69">
        <f t="shared" si="26"/>
        <v>0</v>
      </c>
      <c r="AD123" s="70">
        <v>0</v>
      </c>
      <c r="AE123" s="63"/>
      <c r="AF123" s="72"/>
      <c r="AG123" s="63"/>
      <c r="AH123" s="23"/>
      <c r="AI123" s="60"/>
      <c r="AJ123" s="124"/>
      <c r="AK123" s="121" t="s">
        <v>2424</v>
      </c>
      <c r="AL123" s="107"/>
      <c r="AM123" s="108"/>
      <c r="AN123" s="109"/>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10"/>
      <c r="CO123" s="111"/>
      <c r="CP123" s="110"/>
      <c r="CQ123" s="111"/>
      <c r="CR123" s="110"/>
      <c r="CS123" s="111"/>
      <c r="CT123" s="112">
        <f t="shared" si="25"/>
        <v>0</v>
      </c>
      <c r="CU123" s="113"/>
      <c r="CV123" s="114"/>
      <c r="CW123" s="115"/>
      <c r="CX123" s="116"/>
      <c r="CY123" s="117"/>
      <c r="CZ123" s="116"/>
      <c r="DA123" s="113"/>
      <c r="DB123" s="114"/>
      <c r="DC123" s="64"/>
      <c r="DD123" s="118"/>
    </row>
    <row r="124" spans="1:108" ht="36" outlineLevel="2">
      <c r="A124" s="178">
        <v>40525</v>
      </c>
      <c r="B124" s="164" t="s">
        <v>1233</v>
      </c>
      <c r="C124" s="164" t="s">
        <v>2429</v>
      </c>
      <c r="D124" s="166" t="s">
        <v>1262</v>
      </c>
      <c r="E124" s="163"/>
      <c r="F124" s="105"/>
      <c r="G124" s="105"/>
      <c r="H124" s="105">
        <v>367</v>
      </c>
      <c r="I124" s="105">
        <v>74</v>
      </c>
      <c r="J124" s="105"/>
      <c r="K124" s="105">
        <v>74</v>
      </c>
      <c r="L124" s="105"/>
      <c r="M124" s="105"/>
      <c r="N124" s="105"/>
      <c r="O124" s="105"/>
      <c r="P124" s="105"/>
      <c r="Q124" s="105"/>
      <c r="R124" s="105"/>
      <c r="S124" s="105"/>
      <c r="T124" s="106"/>
      <c r="U124" s="130"/>
      <c r="V124" s="1"/>
      <c r="W124" s="68">
        <f t="shared" si="21"/>
        <v>0</v>
      </c>
      <c r="X124" s="68">
        <f t="shared" si="22"/>
        <v>0</v>
      </c>
      <c r="Y124" s="68">
        <f t="shared" si="23"/>
        <v>0</v>
      </c>
      <c r="Z124" s="68">
        <f t="shared" si="24"/>
        <v>0</v>
      </c>
      <c r="AA124" s="68"/>
      <c r="AB124" s="68">
        <v>0</v>
      </c>
      <c r="AC124" s="69">
        <f t="shared" si="26"/>
        <v>0</v>
      </c>
      <c r="AD124" s="70">
        <v>0</v>
      </c>
      <c r="AE124" s="63"/>
      <c r="AF124" s="72"/>
      <c r="AG124" s="63"/>
      <c r="AH124" s="23"/>
      <c r="AI124" s="60"/>
      <c r="AJ124" s="124"/>
      <c r="AK124" s="121" t="s">
        <v>2430</v>
      </c>
      <c r="AL124" s="107"/>
      <c r="AM124" s="108"/>
      <c r="AN124" s="109"/>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08"/>
      <c r="CM124" s="108"/>
      <c r="CN124" s="110"/>
      <c r="CO124" s="111"/>
      <c r="CP124" s="110"/>
      <c r="CQ124" s="111"/>
      <c r="CR124" s="110"/>
      <c r="CS124" s="111"/>
      <c r="CT124" s="112">
        <f t="shared" si="25"/>
        <v>0</v>
      </c>
      <c r="CU124" s="113"/>
      <c r="CV124" s="114"/>
      <c r="CW124" s="115"/>
      <c r="CX124" s="116"/>
      <c r="CY124" s="117"/>
      <c r="CZ124" s="116"/>
      <c r="DA124" s="113"/>
      <c r="DB124" s="114"/>
      <c r="DC124" s="64"/>
      <c r="DD124" s="118"/>
    </row>
    <row r="125" spans="1:108" ht="26.25" customHeight="1" outlineLevel="1">
      <c r="A125" s="178"/>
      <c r="B125" s="192" t="s">
        <v>2438</v>
      </c>
      <c r="C125" s="164"/>
      <c r="D125" s="166"/>
      <c r="E125" s="163">
        <f t="shared" ref="E125:T125" si="27">SUBTOTAL(9,E5:E124)</f>
        <v>102</v>
      </c>
      <c r="F125" s="105">
        <f t="shared" si="27"/>
        <v>92</v>
      </c>
      <c r="G125" s="105">
        <f t="shared" si="27"/>
        <v>55</v>
      </c>
      <c r="H125" s="105">
        <f t="shared" si="27"/>
        <v>91791</v>
      </c>
      <c r="I125" s="105">
        <f t="shared" si="27"/>
        <v>19381</v>
      </c>
      <c r="J125" s="105">
        <f t="shared" si="27"/>
        <v>103</v>
      </c>
      <c r="K125" s="105">
        <f t="shared" si="27"/>
        <v>18684</v>
      </c>
      <c r="L125" s="105">
        <f t="shared" si="27"/>
        <v>11</v>
      </c>
      <c r="M125" s="105">
        <f t="shared" si="27"/>
        <v>0</v>
      </c>
      <c r="N125" s="105">
        <f t="shared" si="27"/>
        <v>1</v>
      </c>
      <c r="O125" s="105">
        <f t="shared" si="27"/>
        <v>1</v>
      </c>
      <c r="P125" s="105">
        <f t="shared" si="27"/>
        <v>0</v>
      </c>
      <c r="Q125" s="105">
        <f t="shared" si="27"/>
        <v>1</v>
      </c>
      <c r="R125" s="105">
        <f t="shared" si="27"/>
        <v>8</v>
      </c>
      <c r="S125" s="105">
        <f t="shared" si="27"/>
        <v>2</v>
      </c>
      <c r="T125" s="106">
        <f t="shared" si="27"/>
        <v>26</v>
      </c>
      <c r="U125" s="130"/>
      <c r="V125" s="1"/>
      <c r="W125" s="68">
        <f t="shared" ref="W125:AD125" si="28">SUBTOTAL(9,W5:W124)</f>
        <v>281314910</v>
      </c>
      <c r="X125" s="68">
        <f t="shared" si="28"/>
        <v>215900000</v>
      </c>
      <c r="Y125" s="68">
        <f t="shared" si="28"/>
        <v>13680000</v>
      </c>
      <c r="Z125" s="68">
        <f t="shared" si="28"/>
        <v>25700000</v>
      </c>
      <c r="AA125" s="68">
        <f t="shared" si="28"/>
        <v>16420800</v>
      </c>
      <c r="AB125" s="68">
        <f t="shared" si="28"/>
        <v>87850933</v>
      </c>
      <c r="AC125" s="69">
        <f t="shared" si="28"/>
        <v>725186643</v>
      </c>
      <c r="AD125" s="70">
        <f t="shared" si="28"/>
        <v>170000000</v>
      </c>
      <c r="AE125" s="63"/>
      <c r="AF125" s="72"/>
      <c r="AG125" s="63"/>
      <c r="AH125" s="23"/>
      <c r="AI125" s="60"/>
      <c r="AJ125" s="124"/>
      <c r="AK125" s="121"/>
      <c r="AL125" s="107"/>
      <c r="AM125" s="108"/>
      <c r="AN125" s="109"/>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108"/>
      <c r="CN125" s="110"/>
      <c r="CO125" s="111"/>
      <c r="CP125" s="110"/>
      <c r="CQ125" s="111"/>
      <c r="CR125" s="110"/>
      <c r="CS125" s="111"/>
      <c r="CT125" s="112"/>
      <c r="CU125" s="113"/>
      <c r="CV125" s="114"/>
      <c r="CW125" s="115"/>
      <c r="CX125" s="116"/>
      <c r="CY125" s="117"/>
      <c r="CZ125" s="116"/>
      <c r="DA125" s="113"/>
      <c r="DB125" s="114"/>
      <c r="DC125" s="64"/>
      <c r="DD125" s="118"/>
    </row>
    <row r="126" spans="1:108" ht="24" outlineLevel="2">
      <c r="A126" s="178">
        <v>40289</v>
      </c>
      <c r="B126" s="82" t="s">
        <v>879</v>
      </c>
      <c r="C126" s="82" t="s">
        <v>879</v>
      </c>
      <c r="D126" s="165" t="s">
        <v>435</v>
      </c>
      <c r="E126" s="167"/>
      <c r="F126" s="66">
        <v>1</v>
      </c>
      <c r="G126" s="66"/>
      <c r="H126" s="66">
        <v>165</v>
      </c>
      <c r="I126" s="66">
        <v>33</v>
      </c>
      <c r="J126" s="66">
        <v>4</v>
      </c>
      <c r="K126" s="66">
        <v>29</v>
      </c>
      <c r="L126" s="66"/>
      <c r="M126" s="66"/>
      <c r="N126" s="66"/>
      <c r="O126" s="66"/>
      <c r="P126" s="66"/>
      <c r="Q126" s="66"/>
      <c r="R126" s="66"/>
      <c r="S126" s="66"/>
      <c r="T126" s="67"/>
      <c r="U126" s="151"/>
      <c r="V126" s="1"/>
      <c r="W126" s="68">
        <f t="shared" ref="W126:W138" si="29">CT126</f>
        <v>0</v>
      </c>
      <c r="X126" s="68">
        <f t="shared" ref="X126:X138" si="30">CX126</f>
        <v>0</v>
      </c>
      <c r="Y126" s="68">
        <f t="shared" ref="Y126:Y138" si="31">CZ126+DB126</f>
        <v>0</v>
      </c>
      <c r="Z126" s="68">
        <f t="shared" ref="Z126:Z138" si="32">CV126</f>
        <v>0</v>
      </c>
      <c r="AA126" s="68"/>
      <c r="AB126" s="68">
        <v>0</v>
      </c>
      <c r="AC126" s="69">
        <f t="shared" ref="AC126:AC138" si="33">W126+X126+Y126+Z126+AA126+AB126</f>
        <v>0</v>
      </c>
      <c r="AD126" s="70">
        <v>0</v>
      </c>
      <c r="AE126" s="63">
        <v>40290</v>
      </c>
      <c r="AF126" s="72"/>
      <c r="AG126" s="63" t="s">
        <v>938</v>
      </c>
      <c r="AH126" s="23" t="s">
        <v>939</v>
      </c>
      <c r="AI126" s="60"/>
      <c r="AJ126" s="133" t="s">
        <v>1608</v>
      </c>
      <c r="AK126" s="73" t="s">
        <v>1685</v>
      </c>
      <c r="AL126" s="3"/>
      <c r="AM126" s="4"/>
      <c r="AN126" s="5"/>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6"/>
      <c r="CO126" s="7"/>
      <c r="CP126" s="6"/>
      <c r="CQ126" s="7"/>
      <c r="CR126" s="6"/>
      <c r="CS126" s="7"/>
      <c r="CT126" s="8">
        <f t="shared" ref="CT126:CT138" si="34">AM126+AO126+AQ126+AS126+AU126+AW126+AY126+BA126+BC126+BE126+BG126+BI126+BK126+BM126+BO126+BQ126+BS126+BU126+BW126+BY126+CA126+CC126+CE126+CG126+CI126+CK126+CM126+CO126+CQ126+CS126</f>
        <v>0</v>
      </c>
      <c r="CU126" s="9"/>
      <c r="CV126" s="10"/>
      <c r="CW126" s="11"/>
      <c r="CX126" s="12"/>
      <c r="CY126" s="26"/>
      <c r="CZ126" s="12"/>
      <c r="DA126" s="9"/>
      <c r="DB126" s="10"/>
      <c r="DC126" s="64"/>
    </row>
    <row r="127" spans="1:108" ht="24" outlineLevel="2">
      <c r="A127" s="178">
        <v>40361</v>
      </c>
      <c r="B127" s="82" t="s">
        <v>879</v>
      </c>
      <c r="C127" s="82" t="s">
        <v>879</v>
      </c>
      <c r="D127" s="165" t="s">
        <v>1262</v>
      </c>
      <c r="E127" s="167"/>
      <c r="F127" s="66"/>
      <c r="G127" s="66"/>
      <c r="H127" s="66">
        <v>232</v>
      </c>
      <c r="I127" s="66">
        <v>43</v>
      </c>
      <c r="J127" s="66"/>
      <c r="K127" s="66">
        <v>43</v>
      </c>
      <c r="L127" s="66"/>
      <c r="M127" s="66"/>
      <c r="N127" s="66"/>
      <c r="O127" s="66"/>
      <c r="P127" s="66"/>
      <c r="Q127" s="66"/>
      <c r="R127" s="66"/>
      <c r="S127" s="66"/>
      <c r="T127" s="67"/>
      <c r="U127" s="151"/>
      <c r="V127" s="1"/>
      <c r="W127" s="68">
        <f t="shared" si="29"/>
        <v>0</v>
      </c>
      <c r="X127" s="68">
        <f t="shared" si="30"/>
        <v>0</v>
      </c>
      <c r="Y127" s="68">
        <f t="shared" si="31"/>
        <v>0</v>
      </c>
      <c r="Z127" s="68">
        <f t="shared" si="32"/>
        <v>0</v>
      </c>
      <c r="AA127" s="68"/>
      <c r="AB127" s="68">
        <v>0</v>
      </c>
      <c r="AC127" s="69">
        <f t="shared" si="33"/>
        <v>0</v>
      </c>
      <c r="AD127" s="70">
        <v>0</v>
      </c>
      <c r="AE127" s="63">
        <v>40367</v>
      </c>
      <c r="AF127" s="72"/>
      <c r="AG127" s="63" t="s">
        <v>954</v>
      </c>
      <c r="AH127" s="23" t="s">
        <v>955</v>
      </c>
      <c r="AI127" s="60"/>
      <c r="AJ127" s="157" t="s">
        <v>1334</v>
      </c>
      <c r="AK127" s="73" t="s">
        <v>275</v>
      </c>
      <c r="AL127" s="3"/>
      <c r="AM127" s="4"/>
      <c r="AN127" s="5"/>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6"/>
      <c r="CO127" s="7"/>
      <c r="CP127" s="6"/>
      <c r="CQ127" s="7"/>
      <c r="CR127" s="6"/>
      <c r="CS127" s="7"/>
      <c r="CT127" s="8">
        <f t="shared" si="34"/>
        <v>0</v>
      </c>
      <c r="CU127" s="9"/>
      <c r="CV127" s="10"/>
      <c r="CW127" s="11"/>
      <c r="CX127" s="12"/>
      <c r="CY127" s="26"/>
      <c r="CZ127" s="12"/>
      <c r="DA127" s="9"/>
      <c r="DB127" s="10"/>
      <c r="DC127" s="64"/>
    </row>
    <row r="128" spans="1:108" ht="22.5" outlineLevel="2">
      <c r="A128" s="178">
        <v>40370</v>
      </c>
      <c r="B128" s="82" t="s">
        <v>879</v>
      </c>
      <c r="C128" s="82" t="s">
        <v>879</v>
      </c>
      <c r="D128" s="165" t="s">
        <v>435</v>
      </c>
      <c r="E128" s="167"/>
      <c r="F128" s="66"/>
      <c r="G128" s="66"/>
      <c r="H128" s="66">
        <v>1171</v>
      </c>
      <c r="I128" s="66">
        <v>247</v>
      </c>
      <c r="J128" s="66"/>
      <c r="K128" s="66">
        <v>247</v>
      </c>
      <c r="L128" s="66"/>
      <c r="M128" s="66"/>
      <c r="N128" s="66"/>
      <c r="O128" s="66"/>
      <c r="P128" s="66"/>
      <c r="Q128" s="66"/>
      <c r="R128" s="66"/>
      <c r="S128" s="66"/>
      <c r="T128" s="67"/>
      <c r="U128" s="151"/>
      <c r="V128" s="1"/>
      <c r="W128" s="68">
        <f t="shared" si="29"/>
        <v>0</v>
      </c>
      <c r="X128" s="68">
        <f t="shared" si="30"/>
        <v>0</v>
      </c>
      <c r="Y128" s="68">
        <f t="shared" si="31"/>
        <v>0</v>
      </c>
      <c r="Z128" s="68">
        <f t="shared" si="32"/>
        <v>0</v>
      </c>
      <c r="AA128" s="68"/>
      <c r="AB128" s="68">
        <v>0</v>
      </c>
      <c r="AC128" s="69">
        <f t="shared" si="33"/>
        <v>0</v>
      </c>
      <c r="AD128" s="70">
        <v>0</v>
      </c>
      <c r="AE128" s="63">
        <v>40371</v>
      </c>
      <c r="AF128" s="72"/>
      <c r="AG128" s="63" t="s">
        <v>954</v>
      </c>
      <c r="AH128" s="23" t="s">
        <v>955</v>
      </c>
      <c r="AI128" s="60"/>
      <c r="AJ128" s="157" t="s">
        <v>1334</v>
      </c>
      <c r="AK128" s="73" t="s">
        <v>1614</v>
      </c>
      <c r="AL128" s="3"/>
      <c r="AM128" s="4"/>
      <c r="AN128" s="5"/>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6"/>
      <c r="CO128" s="7"/>
      <c r="CP128" s="6"/>
      <c r="CQ128" s="7"/>
      <c r="CR128" s="6"/>
      <c r="CS128" s="7"/>
      <c r="CT128" s="8">
        <f t="shared" si="34"/>
        <v>0</v>
      </c>
      <c r="CU128" s="9"/>
      <c r="CV128" s="10"/>
      <c r="CW128" s="11"/>
      <c r="CX128" s="12"/>
      <c r="CY128" s="26"/>
      <c r="CZ128" s="12"/>
      <c r="DA128" s="9"/>
      <c r="DB128" s="10"/>
      <c r="DC128" s="64"/>
    </row>
    <row r="129" spans="1:108" ht="60" outlineLevel="2">
      <c r="A129" s="178">
        <v>40370</v>
      </c>
      <c r="B129" s="82" t="s">
        <v>879</v>
      </c>
      <c r="C129" s="82" t="s">
        <v>1531</v>
      </c>
      <c r="D129" s="165" t="s">
        <v>1262</v>
      </c>
      <c r="E129" s="167">
        <v>1</v>
      </c>
      <c r="F129" s="66"/>
      <c r="G129" s="66"/>
      <c r="H129" s="66">
        <v>25</v>
      </c>
      <c r="I129" s="66">
        <v>5</v>
      </c>
      <c r="J129" s="66"/>
      <c r="K129" s="66">
        <v>5</v>
      </c>
      <c r="L129" s="66"/>
      <c r="M129" s="66"/>
      <c r="N129" s="66"/>
      <c r="O129" s="66"/>
      <c r="P129" s="66"/>
      <c r="Q129" s="66"/>
      <c r="R129" s="66"/>
      <c r="S129" s="66"/>
      <c r="T129" s="67"/>
      <c r="U129" s="151"/>
      <c r="V129" s="1"/>
      <c r="W129" s="68">
        <f t="shared" si="29"/>
        <v>0</v>
      </c>
      <c r="X129" s="68">
        <f t="shared" si="30"/>
        <v>0</v>
      </c>
      <c r="Y129" s="68">
        <f t="shared" si="31"/>
        <v>0</v>
      </c>
      <c r="Z129" s="68">
        <f t="shared" si="32"/>
        <v>0</v>
      </c>
      <c r="AA129" s="68"/>
      <c r="AB129" s="68">
        <v>0</v>
      </c>
      <c r="AC129" s="69">
        <f t="shared" si="33"/>
        <v>0</v>
      </c>
      <c r="AD129" s="70">
        <v>0</v>
      </c>
      <c r="AE129" s="63">
        <v>40371</v>
      </c>
      <c r="AF129" s="72"/>
      <c r="AG129" s="63" t="s">
        <v>954</v>
      </c>
      <c r="AH129" s="23" t="s">
        <v>955</v>
      </c>
      <c r="AI129" s="60"/>
      <c r="AJ129" s="157" t="s">
        <v>1334</v>
      </c>
      <c r="AK129" s="73" t="s">
        <v>1761</v>
      </c>
      <c r="AL129" s="3"/>
      <c r="AM129" s="4"/>
      <c r="AN129" s="5"/>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6"/>
      <c r="CO129" s="7"/>
      <c r="CP129" s="6"/>
      <c r="CQ129" s="7"/>
      <c r="CR129" s="6"/>
      <c r="CS129" s="7"/>
      <c r="CT129" s="8">
        <f t="shared" si="34"/>
        <v>0</v>
      </c>
      <c r="CU129" s="9"/>
      <c r="CV129" s="10"/>
      <c r="CW129" s="11"/>
      <c r="CX129" s="12"/>
      <c r="CY129" s="26"/>
      <c r="CZ129" s="12"/>
      <c r="DA129" s="9"/>
      <c r="DB129" s="10"/>
      <c r="DC129" s="64"/>
    </row>
    <row r="130" spans="1:108" ht="24" outlineLevel="2">
      <c r="A130" s="178">
        <v>40370</v>
      </c>
      <c r="B130" s="82" t="s">
        <v>879</v>
      </c>
      <c r="C130" s="82" t="s">
        <v>1703</v>
      </c>
      <c r="D130" s="165" t="s">
        <v>435</v>
      </c>
      <c r="E130" s="167"/>
      <c r="F130" s="66"/>
      <c r="G130" s="66"/>
      <c r="H130" s="66">
        <v>35</v>
      </c>
      <c r="I130" s="66">
        <v>7</v>
      </c>
      <c r="J130" s="66"/>
      <c r="K130" s="66">
        <v>7</v>
      </c>
      <c r="L130" s="66"/>
      <c r="M130" s="66"/>
      <c r="N130" s="66"/>
      <c r="O130" s="66"/>
      <c r="P130" s="66"/>
      <c r="Q130" s="66"/>
      <c r="R130" s="66"/>
      <c r="S130" s="66"/>
      <c r="T130" s="67"/>
      <c r="U130" s="151"/>
      <c r="V130" s="1"/>
      <c r="W130" s="68">
        <f t="shared" si="29"/>
        <v>0</v>
      </c>
      <c r="X130" s="68">
        <f t="shared" si="30"/>
        <v>0</v>
      </c>
      <c r="Y130" s="68">
        <f t="shared" si="31"/>
        <v>0</v>
      </c>
      <c r="Z130" s="68">
        <f t="shared" si="32"/>
        <v>0</v>
      </c>
      <c r="AA130" s="68"/>
      <c r="AB130" s="68">
        <v>0</v>
      </c>
      <c r="AC130" s="69">
        <f t="shared" si="33"/>
        <v>0</v>
      </c>
      <c r="AD130" s="70">
        <v>0</v>
      </c>
      <c r="AE130" s="63">
        <v>40371</v>
      </c>
      <c r="AF130" s="72"/>
      <c r="AG130" s="63" t="s">
        <v>938</v>
      </c>
      <c r="AH130" s="23" t="s">
        <v>939</v>
      </c>
      <c r="AI130" s="60"/>
      <c r="AJ130" s="133" t="s">
        <v>1608</v>
      </c>
      <c r="AK130" s="73" t="s">
        <v>1613</v>
      </c>
      <c r="AL130" s="3"/>
      <c r="AM130" s="4"/>
      <c r="AN130" s="5"/>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6"/>
      <c r="CO130" s="7"/>
      <c r="CP130" s="6"/>
      <c r="CQ130" s="7"/>
      <c r="CR130" s="6"/>
      <c r="CS130" s="7"/>
      <c r="CT130" s="8">
        <f t="shared" si="34"/>
        <v>0</v>
      </c>
      <c r="CU130" s="9"/>
      <c r="CV130" s="10"/>
      <c r="CW130" s="11"/>
      <c r="CX130" s="12"/>
      <c r="CY130" s="26"/>
      <c r="CZ130" s="12"/>
      <c r="DA130" s="9"/>
      <c r="DB130" s="10"/>
      <c r="DC130" s="64"/>
    </row>
    <row r="131" spans="1:108" ht="24" outlineLevel="2">
      <c r="A131" s="178">
        <v>40371</v>
      </c>
      <c r="B131" s="82" t="s">
        <v>879</v>
      </c>
      <c r="C131" s="82" t="s">
        <v>795</v>
      </c>
      <c r="D131" s="165" t="s">
        <v>1262</v>
      </c>
      <c r="E131" s="167"/>
      <c r="F131" s="66"/>
      <c r="G131" s="66"/>
      <c r="H131" s="66">
        <v>2396</v>
      </c>
      <c r="I131" s="66">
        <v>499</v>
      </c>
      <c r="J131" s="66"/>
      <c r="K131" s="66">
        <v>499</v>
      </c>
      <c r="L131" s="66"/>
      <c r="M131" s="66"/>
      <c r="N131" s="66"/>
      <c r="O131" s="66"/>
      <c r="P131" s="66"/>
      <c r="Q131" s="66"/>
      <c r="R131" s="66"/>
      <c r="S131" s="66"/>
      <c r="T131" s="67"/>
      <c r="U131" s="151"/>
      <c r="V131" s="1"/>
      <c r="W131" s="68">
        <f t="shared" si="29"/>
        <v>0</v>
      </c>
      <c r="X131" s="68">
        <f t="shared" si="30"/>
        <v>0</v>
      </c>
      <c r="Y131" s="68">
        <f t="shared" si="31"/>
        <v>0</v>
      </c>
      <c r="Z131" s="68">
        <f t="shared" si="32"/>
        <v>0</v>
      </c>
      <c r="AA131" s="68"/>
      <c r="AB131" s="68">
        <v>0</v>
      </c>
      <c r="AC131" s="69">
        <f t="shared" si="33"/>
        <v>0</v>
      </c>
      <c r="AD131" s="70">
        <v>0</v>
      </c>
      <c r="AE131" s="63">
        <v>40343</v>
      </c>
      <c r="AF131" s="72"/>
      <c r="AG131" s="63" t="s">
        <v>954</v>
      </c>
      <c r="AH131" s="23" t="s">
        <v>955</v>
      </c>
      <c r="AI131" s="60"/>
      <c r="AJ131" s="157" t="s">
        <v>1334</v>
      </c>
      <c r="AK131" s="73" t="s">
        <v>796</v>
      </c>
      <c r="AL131" s="3"/>
      <c r="AM131" s="4"/>
      <c r="AN131" s="5"/>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6"/>
      <c r="CO131" s="7"/>
      <c r="CP131" s="6"/>
      <c r="CQ131" s="7"/>
      <c r="CR131" s="6"/>
      <c r="CS131" s="7"/>
      <c r="CT131" s="8">
        <f t="shared" si="34"/>
        <v>0</v>
      </c>
      <c r="CU131" s="9"/>
      <c r="CV131" s="10"/>
      <c r="CW131" s="11"/>
      <c r="CX131" s="12"/>
      <c r="CY131" s="26"/>
      <c r="CZ131" s="12"/>
      <c r="DA131" s="9"/>
      <c r="DB131" s="10"/>
      <c r="DC131" s="64"/>
    </row>
    <row r="132" spans="1:108" ht="22.5" outlineLevel="2">
      <c r="A132" s="178">
        <v>40371</v>
      </c>
      <c r="B132" s="174" t="s">
        <v>879</v>
      </c>
      <c r="C132" s="174" t="s">
        <v>793</v>
      </c>
      <c r="D132" s="179" t="s">
        <v>1262</v>
      </c>
      <c r="E132" s="163"/>
      <c r="F132" s="105"/>
      <c r="G132" s="105"/>
      <c r="H132" s="105">
        <v>332</v>
      </c>
      <c r="I132" s="105">
        <v>73</v>
      </c>
      <c r="J132" s="105"/>
      <c r="K132" s="105">
        <v>73</v>
      </c>
      <c r="L132" s="105"/>
      <c r="M132" s="105"/>
      <c r="N132" s="105"/>
      <c r="O132" s="105"/>
      <c r="P132" s="105"/>
      <c r="Q132" s="105"/>
      <c r="R132" s="105"/>
      <c r="S132" s="105"/>
      <c r="T132" s="106"/>
      <c r="U132" s="130"/>
      <c r="V132" s="1"/>
      <c r="W132" s="68">
        <f t="shared" si="29"/>
        <v>0</v>
      </c>
      <c r="X132" s="68">
        <f t="shared" si="30"/>
        <v>0</v>
      </c>
      <c r="Y132" s="68">
        <f t="shared" si="31"/>
        <v>0</v>
      </c>
      <c r="Z132" s="68">
        <f t="shared" si="32"/>
        <v>0</v>
      </c>
      <c r="AA132" s="68"/>
      <c r="AB132" s="68">
        <v>0</v>
      </c>
      <c r="AC132" s="69">
        <f t="shared" si="33"/>
        <v>0</v>
      </c>
      <c r="AD132" s="70">
        <v>0</v>
      </c>
      <c r="AE132" s="63">
        <v>40441</v>
      </c>
      <c r="AF132" s="72"/>
      <c r="AG132" s="63" t="s">
        <v>954</v>
      </c>
      <c r="AH132" s="23" t="s">
        <v>955</v>
      </c>
      <c r="AI132" s="60"/>
      <c r="AJ132" s="157" t="s">
        <v>1334</v>
      </c>
      <c r="AK132" s="121" t="s">
        <v>1960</v>
      </c>
      <c r="AL132" s="107"/>
      <c r="AM132" s="108"/>
      <c r="AN132" s="109"/>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10"/>
      <c r="CO132" s="111"/>
      <c r="CP132" s="110"/>
      <c r="CQ132" s="111"/>
      <c r="CR132" s="110"/>
      <c r="CS132" s="111"/>
      <c r="CT132" s="112">
        <f t="shared" si="34"/>
        <v>0</v>
      </c>
      <c r="CU132" s="113"/>
      <c r="CV132" s="114"/>
      <c r="CW132" s="115"/>
      <c r="CX132" s="116"/>
      <c r="CY132" s="117"/>
      <c r="CZ132" s="116"/>
      <c r="DA132" s="113"/>
      <c r="DB132" s="114"/>
      <c r="DC132" s="64"/>
      <c r="DD132" s="118"/>
    </row>
    <row r="133" spans="1:108" outlineLevel="2">
      <c r="A133" s="178">
        <v>40383</v>
      </c>
      <c r="B133" s="82" t="s">
        <v>879</v>
      </c>
      <c r="C133" s="82" t="s">
        <v>879</v>
      </c>
      <c r="D133" s="165" t="s">
        <v>435</v>
      </c>
      <c r="E133" s="167"/>
      <c r="F133" s="66"/>
      <c r="G133" s="66"/>
      <c r="H133" s="66"/>
      <c r="I133" s="66"/>
      <c r="J133" s="66"/>
      <c r="K133" s="66"/>
      <c r="L133" s="66"/>
      <c r="M133" s="66"/>
      <c r="N133" s="66"/>
      <c r="O133" s="66"/>
      <c r="P133" s="66"/>
      <c r="Q133" s="66"/>
      <c r="R133" s="66"/>
      <c r="S133" s="66"/>
      <c r="T133" s="67"/>
      <c r="U133" s="151"/>
      <c r="V133" s="1"/>
      <c r="W133" s="68">
        <f t="shared" si="29"/>
        <v>0</v>
      </c>
      <c r="X133" s="68">
        <f t="shared" si="30"/>
        <v>0</v>
      </c>
      <c r="Y133" s="68">
        <f t="shared" si="31"/>
        <v>0</v>
      </c>
      <c r="Z133" s="68">
        <f t="shared" si="32"/>
        <v>0</v>
      </c>
      <c r="AA133" s="68"/>
      <c r="AB133" s="68">
        <v>0</v>
      </c>
      <c r="AC133" s="69">
        <f t="shared" si="33"/>
        <v>0</v>
      </c>
      <c r="AD133" s="70">
        <v>0</v>
      </c>
      <c r="AE133" s="63">
        <v>40385</v>
      </c>
      <c r="AF133" s="72"/>
      <c r="AG133" s="63" t="s">
        <v>938</v>
      </c>
      <c r="AH133" s="23" t="s">
        <v>939</v>
      </c>
      <c r="AI133" s="60"/>
      <c r="AJ133" s="133" t="s">
        <v>1608</v>
      </c>
      <c r="AK133" s="73"/>
      <c r="AL133" s="3"/>
      <c r="AM133" s="4"/>
      <c r="AN133" s="5"/>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6"/>
      <c r="CO133" s="7"/>
      <c r="CP133" s="6"/>
      <c r="CQ133" s="7"/>
      <c r="CR133" s="6"/>
      <c r="CS133" s="7"/>
      <c r="CT133" s="8">
        <f t="shared" si="34"/>
        <v>0</v>
      </c>
      <c r="CU133" s="9"/>
      <c r="CV133" s="10"/>
      <c r="CW133" s="11"/>
      <c r="CX133" s="12"/>
      <c r="CY133" s="26"/>
      <c r="CZ133" s="12"/>
      <c r="DA133" s="9"/>
      <c r="DB133" s="10"/>
      <c r="DC133" s="64"/>
    </row>
    <row r="134" spans="1:108" ht="22.5" outlineLevel="2">
      <c r="A134" s="178">
        <v>40388</v>
      </c>
      <c r="B134" s="174" t="s">
        <v>879</v>
      </c>
      <c r="C134" s="174" t="s">
        <v>1114</v>
      </c>
      <c r="D134" s="179" t="s">
        <v>1262</v>
      </c>
      <c r="E134" s="163"/>
      <c r="F134" s="105"/>
      <c r="G134" s="105"/>
      <c r="H134" s="105">
        <v>35</v>
      </c>
      <c r="I134" s="105">
        <v>7</v>
      </c>
      <c r="J134" s="105"/>
      <c r="K134" s="105">
        <v>7</v>
      </c>
      <c r="L134" s="105"/>
      <c r="M134" s="105"/>
      <c r="N134" s="105"/>
      <c r="O134" s="105"/>
      <c r="P134" s="105"/>
      <c r="Q134" s="105"/>
      <c r="R134" s="105"/>
      <c r="S134" s="105"/>
      <c r="T134" s="106"/>
      <c r="U134" s="130"/>
      <c r="V134" s="1"/>
      <c r="W134" s="68">
        <f t="shared" si="29"/>
        <v>0</v>
      </c>
      <c r="X134" s="68">
        <f t="shared" si="30"/>
        <v>0</v>
      </c>
      <c r="Y134" s="68">
        <f t="shared" si="31"/>
        <v>0</v>
      </c>
      <c r="Z134" s="68">
        <f t="shared" si="32"/>
        <v>0</v>
      </c>
      <c r="AA134" s="68"/>
      <c r="AB134" s="68">
        <v>0</v>
      </c>
      <c r="AC134" s="69">
        <f t="shared" si="33"/>
        <v>0</v>
      </c>
      <c r="AD134" s="70">
        <v>0</v>
      </c>
      <c r="AE134" s="63">
        <v>40441</v>
      </c>
      <c r="AF134" s="72"/>
      <c r="AG134" s="63" t="s">
        <v>954</v>
      </c>
      <c r="AH134" s="23" t="s">
        <v>955</v>
      </c>
      <c r="AI134" s="60"/>
      <c r="AJ134" s="157" t="s">
        <v>1334</v>
      </c>
      <c r="AK134" s="121" t="s">
        <v>1612</v>
      </c>
      <c r="AL134" s="107"/>
      <c r="AM134" s="108"/>
      <c r="AN134" s="109"/>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10"/>
      <c r="CO134" s="111"/>
      <c r="CP134" s="110"/>
      <c r="CQ134" s="111"/>
      <c r="CR134" s="110"/>
      <c r="CS134" s="111"/>
      <c r="CT134" s="112">
        <f t="shared" si="34"/>
        <v>0</v>
      </c>
      <c r="CU134" s="113"/>
      <c r="CV134" s="114"/>
      <c r="CW134" s="115"/>
      <c r="CX134" s="116"/>
      <c r="CY134" s="117"/>
      <c r="CZ134" s="116"/>
      <c r="DA134" s="113"/>
      <c r="DB134" s="114"/>
      <c r="DC134" s="64"/>
      <c r="DD134" s="118">
        <v>1280</v>
      </c>
    </row>
    <row r="135" spans="1:108" ht="36" outlineLevel="2">
      <c r="A135" s="178">
        <v>40389</v>
      </c>
      <c r="B135" s="164" t="s">
        <v>879</v>
      </c>
      <c r="C135" s="164" t="s">
        <v>953</v>
      </c>
      <c r="D135" s="166" t="s">
        <v>1262</v>
      </c>
      <c r="E135" s="163"/>
      <c r="F135" s="105"/>
      <c r="G135" s="105"/>
      <c r="H135" s="105"/>
      <c r="I135" s="105"/>
      <c r="J135" s="105"/>
      <c r="K135" s="105"/>
      <c r="L135" s="105"/>
      <c r="M135" s="105"/>
      <c r="N135" s="105"/>
      <c r="O135" s="105"/>
      <c r="P135" s="105"/>
      <c r="Q135" s="105"/>
      <c r="R135" s="105"/>
      <c r="S135" s="105"/>
      <c r="T135" s="106"/>
      <c r="U135" s="130"/>
      <c r="V135" s="1">
        <v>40458</v>
      </c>
      <c r="W135" s="68">
        <f t="shared" si="29"/>
        <v>93195000</v>
      </c>
      <c r="X135" s="68">
        <f t="shared" si="30"/>
        <v>72250000</v>
      </c>
      <c r="Y135" s="68">
        <f t="shared" si="31"/>
        <v>0</v>
      </c>
      <c r="Z135" s="68">
        <f t="shared" si="32"/>
        <v>0</v>
      </c>
      <c r="AA135" s="68"/>
      <c r="AB135" s="68">
        <v>0</v>
      </c>
      <c r="AC135" s="69">
        <f t="shared" si="33"/>
        <v>165445000</v>
      </c>
      <c r="AD135" s="70">
        <v>0</v>
      </c>
      <c r="AE135" s="63">
        <v>40393</v>
      </c>
      <c r="AF135" s="72">
        <v>38299</v>
      </c>
      <c r="AG135" s="63" t="s">
        <v>954</v>
      </c>
      <c r="AH135" s="23" t="s">
        <v>955</v>
      </c>
      <c r="AI135" s="60">
        <v>21211</v>
      </c>
      <c r="AJ135" s="132" t="s">
        <v>1335</v>
      </c>
      <c r="AK135" s="121" t="s">
        <v>1333</v>
      </c>
      <c r="AL135" s="107"/>
      <c r="AM135" s="108"/>
      <c r="AN135" s="109"/>
      <c r="AO135" s="108"/>
      <c r="AP135" s="108"/>
      <c r="AQ135" s="108"/>
      <c r="AR135" s="108"/>
      <c r="AS135" s="108"/>
      <c r="AT135" s="108"/>
      <c r="AU135" s="108"/>
      <c r="AV135" s="108"/>
      <c r="AW135" s="108"/>
      <c r="AX135" s="108"/>
      <c r="AY135" s="108"/>
      <c r="AZ135" s="108">
        <v>500</v>
      </c>
      <c r="BA135" s="108">
        <f>500*56000</f>
        <v>28000000</v>
      </c>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10">
        <v>850</v>
      </c>
      <c r="CO135" s="111">
        <f>850*37000</f>
        <v>31450000</v>
      </c>
      <c r="CP135" s="110">
        <v>850</v>
      </c>
      <c r="CQ135" s="111">
        <f>850*39700</f>
        <v>33745000</v>
      </c>
      <c r="CR135" s="110"/>
      <c r="CS135" s="111"/>
      <c r="CT135" s="112">
        <f t="shared" si="34"/>
        <v>93195000</v>
      </c>
      <c r="CU135" s="113"/>
      <c r="CV135" s="114"/>
      <c r="CW135" s="115">
        <v>850</v>
      </c>
      <c r="CX135" s="116">
        <f>850*85000</f>
        <v>72250000</v>
      </c>
      <c r="CY135" s="117"/>
      <c r="CZ135" s="116"/>
      <c r="DA135" s="113"/>
      <c r="DB135" s="114"/>
      <c r="DC135" s="64"/>
      <c r="DD135" s="118"/>
    </row>
    <row r="136" spans="1:108" ht="33.75" outlineLevel="2">
      <c r="A136" s="178">
        <v>40415</v>
      </c>
      <c r="B136" s="174" t="s">
        <v>879</v>
      </c>
      <c r="C136" s="174" t="s">
        <v>879</v>
      </c>
      <c r="D136" s="179" t="s">
        <v>1262</v>
      </c>
      <c r="E136" s="163"/>
      <c r="F136" s="105"/>
      <c r="G136" s="105"/>
      <c r="H136" s="105"/>
      <c r="I136" s="105"/>
      <c r="J136" s="105"/>
      <c r="K136" s="105"/>
      <c r="L136" s="105"/>
      <c r="M136" s="105"/>
      <c r="N136" s="105"/>
      <c r="O136" s="105"/>
      <c r="P136" s="105"/>
      <c r="Q136" s="105"/>
      <c r="R136" s="105"/>
      <c r="S136" s="105"/>
      <c r="T136" s="106"/>
      <c r="U136" s="130"/>
      <c r="V136" s="1"/>
      <c r="W136" s="68">
        <f t="shared" si="29"/>
        <v>0</v>
      </c>
      <c r="X136" s="68">
        <f t="shared" si="30"/>
        <v>0</v>
      </c>
      <c r="Y136" s="68">
        <f t="shared" si="31"/>
        <v>0</v>
      </c>
      <c r="Z136" s="68">
        <f t="shared" si="32"/>
        <v>13500000</v>
      </c>
      <c r="AA136" s="68"/>
      <c r="AB136" s="68">
        <v>0</v>
      </c>
      <c r="AC136" s="69">
        <f t="shared" si="33"/>
        <v>13500000</v>
      </c>
      <c r="AD136" s="70">
        <v>0</v>
      </c>
      <c r="AE136" s="63">
        <v>40415</v>
      </c>
      <c r="AF136" s="72">
        <v>42804</v>
      </c>
      <c r="AG136" s="63" t="s">
        <v>954</v>
      </c>
      <c r="AH136" s="23" t="s">
        <v>955</v>
      </c>
      <c r="AI136" s="60">
        <v>21328</v>
      </c>
      <c r="AJ136" s="132" t="s">
        <v>2274</v>
      </c>
      <c r="AK136" s="121" t="s">
        <v>2273</v>
      </c>
      <c r="AL136" s="107"/>
      <c r="AM136" s="108"/>
      <c r="AN136" s="109"/>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08"/>
      <c r="CM136" s="108"/>
      <c r="CN136" s="110"/>
      <c r="CO136" s="111"/>
      <c r="CP136" s="110"/>
      <c r="CQ136" s="111"/>
      <c r="CR136" s="110"/>
      <c r="CS136" s="111"/>
      <c r="CT136" s="112">
        <f t="shared" si="34"/>
        <v>0</v>
      </c>
      <c r="CU136" s="113">
        <v>15000</v>
      </c>
      <c r="CV136" s="114">
        <f>15000*900</f>
        <v>13500000</v>
      </c>
      <c r="CW136" s="115"/>
      <c r="CX136" s="116"/>
      <c r="CY136" s="117"/>
      <c r="CZ136" s="116"/>
      <c r="DA136" s="113"/>
      <c r="DB136" s="114"/>
      <c r="DC136" s="64"/>
      <c r="DD136" s="118"/>
    </row>
    <row r="137" spans="1:108" ht="48" outlineLevel="2">
      <c r="A137" s="178">
        <v>40435</v>
      </c>
      <c r="B137" s="174" t="s">
        <v>879</v>
      </c>
      <c r="C137" s="174" t="s">
        <v>1703</v>
      </c>
      <c r="D137" s="179" t="s">
        <v>1262</v>
      </c>
      <c r="E137" s="163"/>
      <c r="F137" s="105"/>
      <c r="G137" s="105"/>
      <c r="H137" s="105">
        <f>230+55</f>
        <v>285</v>
      </c>
      <c r="I137" s="105">
        <f>47+16</f>
        <v>63</v>
      </c>
      <c r="J137" s="105">
        <v>2</v>
      </c>
      <c r="K137" s="131">
        <f>45+16</f>
        <v>61</v>
      </c>
      <c r="L137" s="105"/>
      <c r="M137" s="105"/>
      <c r="N137" s="105"/>
      <c r="O137" s="105"/>
      <c r="P137" s="105"/>
      <c r="Q137" s="105"/>
      <c r="R137" s="105"/>
      <c r="S137" s="105"/>
      <c r="T137" s="106"/>
      <c r="U137" s="130"/>
      <c r="V137" s="1"/>
      <c r="W137" s="68">
        <f t="shared" si="29"/>
        <v>0</v>
      </c>
      <c r="X137" s="68">
        <f t="shared" si="30"/>
        <v>0</v>
      </c>
      <c r="Y137" s="68">
        <f t="shared" si="31"/>
        <v>0</v>
      </c>
      <c r="Z137" s="68">
        <f t="shared" si="32"/>
        <v>0</v>
      </c>
      <c r="AA137" s="68"/>
      <c r="AB137" s="68">
        <v>0</v>
      </c>
      <c r="AC137" s="69">
        <f t="shared" si="33"/>
        <v>0</v>
      </c>
      <c r="AD137" s="70">
        <v>0</v>
      </c>
      <c r="AE137" s="63">
        <v>40441</v>
      </c>
      <c r="AF137" s="72"/>
      <c r="AG137" s="63" t="s">
        <v>954</v>
      </c>
      <c r="AH137" s="23" t="s">
        <v>955</v>
      </c>
      <c r="AI137" s="60"/>
      <c r="AJ137" s="157" t="s">
        <v>1334</v>
      </c>
      <c r="AK137" s="121" t="s">
        <v>1297</v>
      </c>
      <c r="AL137" s="107"/>
      <c r="AM137" s="108"/>
      <c r="AN137" s="109"/>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08"/>
      <c r="CM137" s="108"/>
      <c r="CN137" s="110"/>
      <c r="CO137" s="111"/>
      <c r="CP137" s="110"/>
      <c r="CQ137" s="111"/>
      <c r="CR137" s="110"/>
      <c r="CS137" s="111"/>
      <c r="CT137" s="112">
        <f t="shared" si="34"/>
        <v>0</v>
      </c>
      <c r="CU137" s="113"/>
      <c r="CV137" s="114"/>
      <c r="CW137" s="115"/>
      <c r="CX137" s="116"/>
      <c r="CY137" s="117"/>
      <c r="CZ137" s="116"/>
      <c r="DA137" s="113"/>
      <c r="DB137" s="114"/>
      <c r="DC137" s="64"/>
      <c r="DD137" s="118"/>
    </row>
    <row r="138" spans="1:108" outlineLevel="2">
      <c r="A138" s="178">
        <v>40500</v>
      </c>
      <c r="B138" s="164" t="s">
        <v>879</v>
      </c>
      <c r="C138" s="164" t="s">
        <v>795</v>
      </c>
      <c r="D138" s="166" t="s">
        <v>1262</v>
      </c>
      <c r="E138" s="163"/>
      <c r="F138" s="105"/>
      <c r="G138" s="105"/>
      <c r="H138" s="105">
        <v>61</v>
      </c>
      <c r="I138" s="105">
        <v>13</v>
      </c>
      <c r="J138" s="105"/>
      <c r="K138" s="105">
        <v>4</v>
      </c>
      <c r="L138" s="105">
        <v>1</v>
      </c>
      <c r="M138" s="105">
        <v>1</v>
      </c>
      <c r="N138" s="105"/>
      <c r="O138" s="105"/>
      <c r="P138" s="105"/>
      <c r="Q138" s="105"/>
      <c r="R138" s="105">
        <v>1</v>
      </c>
      <c r="S138" s="105"/>
      <c r="T138" s="106"/>
      <c r="U138" s="130"/>
      <c r="V138" s="1"/>
      <c r="W138" s="68">
        <f t="shared" si="29"/>
        <v>0</v>
      </c>
      <c r="X138" s="68">
        <f t="shared" si="30"/>
        <v>0</v>
      </c>
      <c r="Y138" s="68">
        <f t="shared" si="31"/>
        <v>0</v>
      </c>
      <c r="Z138" s="68">
        <f t="shared" si="32"/>
        <v>0</v>
      </c>
      <c r="AA138" s="68"/>
      <c r="AB138" s="68">
        <v>0</v>
      </c>
      <c r="AC138" s="69">
        <f t="shared" si="33"/>
        <v>0</v>
      </c>
      <c r="AD138" s="70">
        <v>0</v>
      </c>
      <c r="AE138" s="63">
        <v>40504</v>
      </c>
      <c r="AF138" s="72"/>
      <c r="AG138" s="63" t="s">
        <v>938</v>
      </c>
      <c r="AH138" s="23" t="s">
        <v>939</v>
      </c>
      <c r="AI138" s="60"/>
      <c r="AJ138" s="124" t="s">
        <v>1608</v>
      </c>
      <c r="AK138" s="121" t="s">
        <v>1565</v>
      </c>
      <c r="AL138" s="107"/>
      <c r="AM138" s="108"/>
      <c r="AN138" s="109"/>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08"/>
      <c r="CM138" s="108"/>
      <c r="CN138" s="110"/>
      <c r="CO138" s="111"/>
      <c r="CP138" s="110"/>
      <c r="CQ138" s="111"/>
      <c r="CR138" s="110"/>
      <c r="CS138" s="111"/>
      <c r="CT138" s="112">
        <f t="shared" si="34"/>
        <v>0</v>
      </c>
      <c r="CU138" s="113"/>
      <c r="CV138" s="114"/>
      <c r="CW138" s="115"/>
      <c r="CX138" s="116"/>
      <c r="CY138" s="117"/>
      <c r="CZ138" s="116"/>
      <c r="DA138" s="113"/>
      <c r="DB138" s="114"/>
      <c r="DC138" s="64"/>
      <c r="DD138" s="118"/>
    </row>
    <row r="139" spans="1:108" outlineLevel="1">
      <c r="A139" s="178"/>
      <c r="B139" s="192" t="s">
        <v>2439</v>
      </c>
      <c r="C139" s="164"/>
      <c r="D139" s="166"/>
      <c r="E139" s="163">
        <f t="shared" ref="E139:T139" si="35">SUBTOTAL(9,E126:E138)</f>
        <v>1</v>
      </c>
      <c r="F139" s="105">
        <f t="shared" si="35"/>
        <v>1</v>
      </c>
      <c r="G139" s="105">
        <f t="shared" si="35"/>
        <v>0</v>
      </c>
      <c r="H139" s="105">
        <f t="shared" si="35"/>
        <v>4737</v>
      </c>
      <c r="I139" s="105">
        <f t="shared" si="35"/>
        <v>990</v>
      </c>
      <c r="J139" s="105">
        <f t="shared" si="35"/>
        <v>6</v>
      </c>
      <c r="K139" s="105">
        <f t="shared" si="35"/>
        <v>975</v>
      </c>
      <c r="L139" s="105">
        <f t="shared" si="35"/>
        <v>1</v>
      </c>
      <c r="M139" s="105">
        <f t="shared" si="35"/>
        <v>1</v>
      </c>
      <c r="N139" s="105">
        <f t="shared" si="35"/>
        <v>0</v>
      </c>
      <c r="O139" s="105">
        <f t="shared" si="35"/>
        <v>0</v>
      </c>
      <c r="P139" s="105">
        <f t="shared" si="35"/>
        <v>0</v>
      </c>
      <c r="Q139" s="105">
        <f t="shared" si="35"/>
        <v>0</v>
      </c>
      <c r="R139" s="105">
        <f t="shared" si="35"/>
        <v>1</v>
      </c>
      <c r="S139" s="105">
        <f t="shared" si="35"/>
        <v>0</v>
      </c>
      <c r="T139" s="106">
        <f t="shared" si="35"/>
        <v>0</v>
      </c>
      <c r="U139" s="130"/>
      <c r="V139" s="1"/>
      <c r="W139" s="68">
        <f t="shared" ref="W139:AD139" si="36">SUBTOTAL(9,W126:W138)</f>
        <v>93195000</v>
      </c>
      <c r="X139" s="68">
        <f t="shared" si="36"/>
        <v>72250000</v>
      </c>
      <c r="Y139" s="68">
        <f t="shared" si="36"/>
        <v>0</v>
      </c>
      <c r="Z139" s="68">
        <f t="shared" si="36"/>
        <v>13500000</v>
      </c>
      <c r="AA139" s="68">
        <f t="shared" si="36"/>
        <v>0</v>
      </c>
      <c r="AB139" s="68">
        <f t="shared" si="36"/>
        <v>0</v>
      </c>
      <c r="AC139" s="69">
        <f t="shared" si="36"/>
        <v>178945000</v>
      </c>
      <c r="AD139" s="70">
        <f t="shared" si="36"/>
        <v>0</v>
      </c>
      <c r="AE139" s="63"/>
      <c r="AF139" s="72"/>
      <c r="AG139" s="63"/>
      <c r="AH139" s="23"/>
      <c r="AI139" s="60"/>
      <c r="AJ139" s="124"/>
      <c r="AK139" s="121"/>
      <c r="AL139" s="107"/>
      <c r="AM139" s="108"/>
      <c r="AN139" s="109"/>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10"/>
      <c r="CO139" s="111"/>
      <c r="CP139" s="110"/>
      <c r="CQ139" s="111"/>
      <c r="CR139" s="110"/>
      <c r="CS139" s="111"/>
      <c r="CT139" s="112"/>
      <c r="CU139" s="113"/>
      <c r="CV139" s="114"/>
      <c r="CW139" s="115"/>
      <c r="CX139" s="116"/>
      <c r="CY139" s="117"/>
      <c r="CZ139" s="116"/>
      <c r="DA139" s="113"/>
      <c r="DB139" s="114"/>
      <c r="DC139" s="64"/>
      <c r="DD139" s="118"/>
    </row>
    <row r="140" spans="1:108" ht="24" outlineLevel="2">
      <c r="A140" s="178">
        <v>40282</v>
      </c>
      <c r="B140" s="82" t="s">
        <v>911</v>
      </c>
      <c r="C140" s="82" t="s">
        <v>941</v>
      </c>
      <c r="D140" s="165" t="s">
        <v>1262</v>
      </c>
      <c r="E140" s="167"/>
      <c r="F140" s="66"/>
      <c r="G140" s="66"/>
      <c r="H140" s="66">
        <v>56</v>
      </c>
      <c r="I140" s="66">
        <v>10</v>
      </c>
      <c r="J140" s="66"/>
      <c r="K140" s="66">
        <v>10</v>
      </c>
      <c r="L140" s="66"/>
      <c r="M140" s="66"/>
      <c r="N140" s="66"/>
      <c r="O140" s="66"/>
      <c r="P140" s="66"/>
      <c r="Q140" s="66"/>
      <c r="R140" s="66"/>
      <c r="S140" s="66"/>
      <c r="T140" s="67"/>
      <c r="U140" s="151"/>
      <c r="V140" s="1"/>
      <c r="W140" s="68">
        <f t="shared" ref="W140:W171" si="37">CT140</f>
        <v>0</v>
      </c>
      <c r="X140" s="68">
        <f t="shared" ref="X140:X171" si="38">CX140</f>
        <v>0</v>
      </c>
      <c r="Y140" s="68">
        <f t="shared" ref="Y140:Y171" si="39">CZ140+DB140</f>
        <v>0</v>
      </c>
      <c r="Z140" s="68">
        <f t="shared" ref="Z140:Z171" si="40">CV140</f>
        <v>0</v>
      </c>
      <c r="AA140" s="68"/>
      <c r="AB140" s="68">
        <v>0</v>
      </c>
      <c r="AC140" s="69">
        <f t="shared" ref="AC140:AC171" si="41">W140+X140+Y140+Z140+AA140+AB140</f>
        <v>0</v>
      </c>
      <c r="AD140" s="70">
        <v>0</v>
      </c>
      <c r="AE140" s="63">
        <v>40283</v>
      </c>
      <c r="AF140" s="72"/>
      <c r="AG140" s="63" t="s">
        <v>938</v>
      </c>
      <c r="AH140" s="23" t="s">
        <v>939</v>
      </c>
      <c r="AI140" s="60"/>
      <c r="AJ140" s="133" t="s">
        <v>1608</v>
      </c>
      <c r="AK140" s="73" t="s">
        <v>975</v>
      </c>
      <c r="AL140" s="3"/>
      <c r="AM140" s="4"/>
      <c r="AN140" s="5"/>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6"/>
      <c r="CO140" s="7"/>
      <c r="CP140" s="6"/>
      <c r="CQ140" s="7"/>
      <c r="CR140" s="6"/>
      <c r="CS140" s="7"/>
      <c r="CT140" s="8">
        <f t="shared" ref="CT140:CT171" si="42">AM140+AO140+AQ140+AS140+AU140+AW140+AY140+BA140+BC140+BE140+BG140+BI140+BK140+BM140+BO140+BQ140+BS140+BU140+BW140+BY140+CA140+CC140+CE140+CG140+CI140+CK140+CM140+CO140+CQ140+CS140</f>
        <v>0</v>
      </c>
      <c r="CU140" s="9"/>
      <c r="CV140" s="10"/>
      <c r="CW140" s="11"/>
      <c r="CX140" s="12"/>
      <c r="CY140" s="26"/>
      <c r="CZ140" s="12"/>
      <c r="DA140" s="9"/>
      <c r="DB140" s="10"/>
      <c r="DC140" s="64"/>
    </row>
    <row r="141" spans="1:108" ht="22.5" outlineLevel="2">
      <c r="A141" s="178">
        <v>40289</v>
      </c>
      <c r="B141" s="82" t="s">
        <v>911</v>
      </c>
      <c r="C141" s="82" t="s">
        <v>941</v>
      </c>
      <c r="D141" s="165" t="s">
        <v>1182</v>
      </c>
      <c r="E141" s="167"/>
      <c r="F141" s="66"/>
      <c r="G141" s="66"/>
      <c r="H141" s="66">
        <v>16</v>
      </c>
      <c r="I141" s="66">
        <v>3</v>
      </c>
      <c r="J141" s="66"/>
      <c r="K141" s="66">
        <v>2</v>
      </c>
      <c r="L141" s="66"/>
      <c r="M141" s="66"/>
      <c r="N141" s="66"/>
      <c r="O141" s="66"/>
      <c r="P141" s="66"/>
      <c r="Q141" s="66"/>
      <c r="R141" s="66"/>
      <c r="S141" s="66"/>
      <c r="T141" s="67"/>
      <c r="U141" s="151"/>
      <c r="V141" s="1"/>
      <c r="W141" s="68">
        <f t="shared" si="37"/>
        <v>0</v>
      </c>
      <c r="X141" s="68">
        <f t="shared" si="38"/>
        <v>0</v>
      </c>
      <c r="Y141" s="68">
        <f t="shared" si="39"/>
        <v>0</v>
      </c>
      <c r="Z141" s="68">
        <f t="shared" si="40"/>
        <v>0</v>
      </c>
      <c r="AA141" s="68"/>
      <c r="AB141" s="68">
        <v>0</v>
      </c>
      <c r="AC141" s="69">
        <f t="shared" si="41"/>
        <v>0</v>
      </c>
      <c r="AD141" s="70">
        <v>0</v>
      </c>
      <c r="AE141" s="63">
        <v>40290</v>
      </c>
      <c r="AF141" s="72"/>
      <c r="AG141" s="63" t="s">
        <v>938</v>
      </c>
      <c r="AH141" s="23" t="s">
        <v>939</v>
      </c>
      <c r="AI141" s="60"/>
      <c r="AJ141" s="133" t="s">
        <v>1608</v>
      </c>
      <c r="AK141" s="73" t="s">
        <v>1686</v>
      </c>
      <c r="AL141" s="3"/>
      <c r="AM141" s="4"/>
      <c r="AN141" s="5"/>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6"/>
      <c r="CO141" s="7"/>
      <c r="CP141" s="6"/>
      <c r="CQ141" s="7"/>
      <c r="CR141" s="6"/>
      <c r="CS141" s="7"/>
      <c r="CT141" s="8">
        <f t="shared" si="42"/>
        <v>0</v>
      </c>
      <c r="CU141" s="9"/>
      <c r="CV141" s="10"/>
      <c r="CW141" s="11"/>
      <c r="CX141" s="12"/>
      <c r="CY141" s="26"/>
      <c r="CZ141" s="12"/>
      <c r="DA141" s="9"/>
      <c r="DB141" s="10"/>
      <c r="DC141" s="64"/>
    </row>
    <row r="142" spans="1:108" outlineLevel="2">
      <c r="A142" s="178">
        <v>40297</v>
      </c>
      <c r="B142" s="82" t="s">
        <v>911</v>
      </c>
      <c r="C142" s="82" t="s">
        <v>1755</v>
      </c>
      <c r="D142" s="165" t="s">
        <v>1262</v>
      </c>
      <c r="E142" s="167"/>
      <c r="F142" s="66"/>
      <c r="G142" s="66"/>
      <c r="H142" s="66"/>
      <c r="I142" s="66"/>
      <c r="J142" s="66"/>
      <c r="K142" s="66"/>
      <c r="L142" s="66"/>
      <c r="M142" s="66"/>
      <c r="N142" s="66"/>
      <c r="O142" s="66"/>
      <c r="P142" s="66"/>
      <c r="Q142" s="66"/>
      <c r="R142" s="66">
        <v>1</v>
      </c>
      <c r="S142" s="66"/>
      <c r="T142" s="67"/>
      <c r="U142" s="151"/>
      <c r="V142" s="1"/>
      <c r="W142" s="68">
        <f t="shared" si="37"/>
        <v>0</v>
      </c>
      <c r="X142" s="68">
        <f t="shared" si="38"/>
        <v>0</v>
      </c>
      <c r="Y142" s="68">
        <f t="shared" si="39"/>
        <v>0</v>
      </c>
      <c r="Z142" s="68">
        <f t="shared" si="40"/>
        <v>0</v>
      </c>
      <c r="AA142" s="68"/>
      <c r="AB142" s="68">
        <v>0</v>
      </c>
      <c r="AC142" s="69">
        <f t="shared" si="41"/>
        <v>0</v>
      </c>
      <c r="AD142" s="70">
        <v>0</v>
      </c>
      <c r="AE142" s="63">
        <v>40298</v>
      </c>
      <c r="AF142" s="72"/>
      <c r="AG142" s="63" t="s">
        <v>938</v>
      </c>
      <c r="AH142" s="23" t="s">
        <v>939</v>
      </c>
      <c r="AI142" s="60"/>
      <c r="AJ142" s="133" t="s">
        <v>1608</v>
      </c>
      <c r="AK142" s="120" t="s">
        <v>1756</v>
      </c>
      <c r="AL142" s="3"/>
      <c r="AM142" s="4"/>
      <c r="AN142" s="5"/>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6"/>
      <c r="CO142" s="7"/>
      <c r="CP142" s="6"/>
      <c r="CQ142" s="7"/>
      <c r="CR142" s="6"/>
      <c r="CS142" s="7"/>
      <c r="CT142" s="8">
        <f t="shared" si="42"/>
        <v>0</v>
      </c>
      <c r="CU142" s="9"/>
      <c r="CV142" s="10"/>
      <c r="CW142" s="11"/>
      <c r="CX142" s="12"/>
      <c r="CY142" s="26"/>
      <c r="CZ142" s="12"/>
      <c r="DA142" s="9"/>
      <c r="DB142" s="10"/>
      <c r="DC142" s="64"/>
      <c r="DD142" s="22">
        <v>1026</v>
      </c>
    </row>
    <row r="143" spans="1:108" ht="24" outlineLevel="2">
      <c r="A143" s="178">
        <v>40298</v>
      </c>
      <c r="B143" s="82" t="s">
        <v>911</v>
      </c>
      <c r="C143" s="82" t="s">
        <v>941</v>
      </c>
      <c r="D143" s="165" t="s">
        <v>1262</v>
      </c>
      <c r="E143" s="167"/>
      <c r="F143" s="66"/>
      <c r="G143" s="66"/>
      <c r="H143" s="66">
        <v>75</v>
      </c>
      <c r="I143" s="66">
        <v>15</v>
      </c>
      <c r="J143" s="66"/>
      <c r="K143" s="66">
        <v>15</v>
      </c>
      <c r="L143" s="66"/>
      <c r="M143" s="66"/>
      <c r="N143" s="66"/>
      <c r="O143" s="66"/>
      <c r="P143" s="66"/>
      <c r="Q143" s="66"/>
      <c r="R143" s="66"/>
      <c r="S143" s="66"/>
      <c r="T143" s="67"/>
      <c r="U143" s="151"/>
      <c r="V143" s="1"/>
      <c r="W143" s="68">
        <f t="shared" si="37"/>
        <v>0</v>
      </c>
      <c r="X143" s="68">
        <f t="shared" si="38"/>
        <v>0</v>
      </c>
      <c r="Y143" s="68">
        <f t="shared" si="39"/>
        <v>0</v>
      </c>
      <c r="Z143" s="68">
        <f t="shared" si="40"/>
        <v>0</v>
      </c>
      <c r="AA143" s="68"/>
      <c r="AB143" s="68">
        <v>0</v>
      </c>
      <c r="AC143" s="69">
        <f t="shared" si="41"/>
        <v>0</v>
      </c>
      <c r="AD143" s="70">
        <v>0</v>
      </c>
      <c r="AE143" s="63">
        <v>40301</v>
      </c>
      <c r="AF143" s="72"/>
      <c r="AG143" s="63" t="s">
        <v>938</v>
      </c>
      <c r="AH143" s="23" t="s">
        <v>939</v>
      </c>
      <c r="AI143" s="60"/>
      <c r="AJ143" s="133" t="s">
        <v>1608</v>
      </c>
      <c r="AK143" s="73" t="s">
        <v>619</v>
      </c>
      <c r="AL143" s="3"/>
      <c r="AM143" s="4"/>
      <c r="AN143" s="5"/>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6"/>
      <c r="CO143" s="7"/>
      <c r="CP143" s="6"/>
      <c r="CQ143" s="7"/>
      <c r="CR143" s="6"/>
      <c r="CS143" s="7"/>
      <c r="CT143" s="8">
        <f t="shared" si="42"/>
        <v>0</v>
      </c>
      <c r="CU143" s="9"/>
      <c r="CV143" s="10"/>
      <c r="CW143" s="11"/>
      <c r="CX143" s="12"/>
      <c r="CY143" s="26"/>
      <c r="CZ143" s="12"/>
      <c r="DA143" s="9"/>
      <c r="DB143" s="10"/>
      <c r="DC143" s="64"/>
    </row>
    <row r="144" spans="1:108" ht="24" outlineLevel="2">
      <c r="A144" s="178">
        <v>40299</v>
      </c>
      <c r="B144" s="82" t="s">
        <v>911</v>
      </c>
      <c r="C144" s="82" t="s">
        <v>941</v>
      </c>
      <c r="D144" s="165" t="s">
        <v>1262</v>
      </c>
      <c r="E144" s="167"/>
      <c r="F144" s="66"/>
      <c r="G144" s="66"/>
      <c r="H144" s="66">
        <v>5</v>
      </c>
      <c r="I144" s="66">
        <v>1</v>
      </c>
      <c r="J144" s="66">
        <v>1</v>
      </c>
      <c r="K144" s="66"/>
      <c r="L144" s="66"/>
      <c r="M144" s="66"/>
      <c r="N144" s="66"/>
      <c r="O144" s="66"/>
      <c r="P144" s="66"/>
      <c r="Q144" s="66"/>
      <c r="R144" s="66"/>
      <c r="S144" s="66"/>
      <c r="T144" s="67"/>
      <c r="U144" s="151"/>
      <c r="V144" s="1"/>
      <c r="W144" s="68">
        <f t="shared" si="37"/>
        <v>0</v>
      </c>
      <c r="X144" s="68">
        <f t="shared" si="38"/>
        <v>0</v>
      </c>
      <c r="Y144" s="68">
        <f t="shared" si="39"/>
        <v>0</v>
      </c>
      <c r="Z144" s="68">
        <f t="shared" si="40"/>
        <v>0</v>
      </c>
      <c r="AA144" s="68"/>
      <c r="AB144" s="68">
        <v>0</v>
      </c>
      <c r="AC144" s="69">
        <f t="shared" si="41"/>
        <v>0</v>
      </c>
      <c r="AD144" s="70">
        <v>0</v>
      </c>
      <c r="AE144" s="63">
        <v>40301</v>
      </c>
      <c r="AF144" s="72"/>
      <c r="AG144" s="63" t="s">
        <v>938</v>
      </c>
      <c r="AH144" s="23" t="s">
        <v>939</v>
      </c>
      <c r="AI144" s="60"/>
      <c r="AJ144" s="133" t="s">
        <v>1608</v>
      </c>
      <c r="AK144" s="73" t="s">
        <v>620</v>
      </c>
      <c r="AL144" s="3"/>
      <c r="AM144" s="4"/>
      <c r="AN144" s="5"/>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6"/>
      <c r="CO144" s="7"/>
      <c r="CP144" s="6"/>
      <c r="CQ144" s="7"/>
      <c r="CR144" s="6"/>
      <c r="CS144" s="7"/>
      <c r="CT144" s="8">
        <f t="shared" si="42"/>
        <v>0</v>
      </c>
      <c r="CU144" s="9"/>
      <c r="CV144" s="10"/>
      <c r="CW144" s="11"/>
      <c r="CX144" s="12"/>
      <c r="CY144" s="26"/>
      <c r="CZ144" s="12"/>
      <c r="DA144" s="9"/>
      <c r="DB144" s="10"/>
      <c r="DC144" s="64"/>
    </row>
    <row r="145" spans="1:108" ht="22.5" outlineLevel="2">
      <c r="A145" s="178">
        <v>40300</v>
      </c>
      <c r="B145" s="82" t="s">
        <v>911</v>
      </c>
      <c r="C145" s="82" t="s">
        <v>941</v>
      </c>
      <c r="D145" s="165" t="s">
        <v>1182</v>
      </c>
      <c r="E145" s="167"/>
      <c r="F145" s="66"/>
      <c r="G145" s="66"/>
      <c r="H145" s="66">
        <v>5</v>
      </c>
      <c r="I145" s="66">
        <v>1</v>
      </c>
      <c r="J145" s="66">
        <v>1</v>
      </c>
      <c r="K145" s="66"/>
      <c r="L145" s="66"/>
      <c r="M145" s="66"/>
      <c r="N145" s="66"/>
      <c r="O145" s="66"/>
      <c r="P145" s="66"/>
      <c r="Q145" s="66"/>
      <c r="R145" s="66"/>
      <c r="S145" s="66"/>
      <c r="T145" s="67"/>
      <c r="U145" s="151"/>
      <c r="V145" s="1"/>
      <c r="W145" s="68">
        <f t="shared" si="37"/>
        <v>0</v>
      </c>
      <c r="X145" s="68">
        <f t="shared" si="38"/>
        <v>0</v>
      </c>
      <c r="Y145" s="68">
        <f t="shared" si="39"/>
        <v>0</v>
      </c>
      <c r="Z145" s="68">
        <f t="shared" si="40"/>
        <v>0</v>
      </c>
      <c r="AA145" s="68"/>
      <c r="AB145" s="68">
        <v>0</v>
      </c>
      <c r="AC145" s="69">
        <f t="shared" si="41"/>
        <v>0</v>
      </c>
      <c r="AD145" s="70">
        <v>0</v>
      </c>
      <c r="AE145" s="63">
        <v>40301</v>
      </c>
      <c r="AF145" s="72"/>
      <c r="AG145" s="63" t="s">
        <v>938</v>
      </c>
      <c r="AH145" s="23" t="s">
        <v>939</v>
      </c>
      <c r="AI145" s="60"/>
      <c r="AJ145" s="133" t="s">
        <v>1608</v>
      </c>
      <c r="AK145" s="73" t="s">
        <v>621</v>
      </c>
      <c r="AL145" s="3"/>
      <c r="AM145" s="4"/>
      <c r="AN145" s="5"/>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6"/>
      <c r="CO145" s="7"/>
      <c r="CP145" s="6"/>
      <c r="CQ145" s="7"/>
      <c r="CR145" s="6"/>
      <c r="CS145" s="7"/>
      <c r="CT145" s="8">
        <f t="shared" si="42"/>
        <v>0</v>
      </c>
      <c r="CU145" s="9"/>
      <c r="CV145" s="10"/>
      <c r="CW145" s="11"/>
      <c r="CX145" s="12"/>
      <c r="CY145" s="26"/>
      <c r="CZ145" s="12"/>
      <c r="DA145" s="9"/>
      <c r="DB145" s="10"/>
      <c r="DC145" s="64"/>
    </row>
    <row r="146" spans="1:108" ht="60" outlineLevel="2">
      <c r="A146" s="178">
        <v>40301</v>
      </c>
      <c r="B146" s="82" t="s">
        <v>911</v>
      </c>
      <c r="C146" s="82" t="s">
        <v>953</v>
      </c>
      <c r="D146" s="165" t="s">
        <v>1262</v>
      </c>
      <c r="E146" s="167"/>
      <c r="F146" s="66"/>
      <c r="G146" s="66"/>
      <c r="H146" s="66"/>
      <c r="I146" s="66"/>
      <c r="J146" s="66"/>
      <c r="K146" s="66"/>
      <c r="L146" s="66"/>
      <c r="M146" s="66"/>
      <c r="N146" s="66"/>
      <c r="O146" s="66"/>
      <c r="P146" s="66"/>
      <c r="Q146" s="66"/>
      <c r="R146" s="66"/>
      <c r="S146" s="66"/>
      <c r="T146" s="67"/>
      <c r="U146" s="151"/>
      <c r="V146" s="1">
        <v>40339</v>
      </c>
      <c r="W146" s="68">
        <f t="shared" si="37"/>
        <v>0</v>
      </c>
      <c r="X146" s="68">
        <f t="shared" si="38"/>
        <v>0</v>
      </c>
      <c r="Y146" s="68">
        <f t="shared" si="39"/>
        <v>0</v>
      </c>
      <c r="Z146" s="68">
        <f t="shared" si="40"/>
        <v>45124000</v>
      </c>
      <c r="AA146" s="68">
        <f>200000*522+20000*174</f>
        <v>107880000</v>
      </c>
      <c r="AB146" s="68">
        <v>0</v>
      </c>
      <c r="AC146" s="69">
        <f t="shared" si="41"/>
        <v>153004000</v>
      </c>
      <c r="AD146" s="70">
        <v>0</v>
      </c>
      <c r="AE146" s="63">
        <v>40301</v>
      </c>
      <c r="AF146" s="72">
        <v>97211</v>
      </c>
      <c r="AG146" s="63" t="s">
        <v>954</v>
      </c>
      <c r="AH146" s="23" t="s">
        <v>955</v>
      </c>
      <c r="AI146" s="75" t="s">
        <v>2227</v>
      </c>
      <c r="AJ146" s="133" t="s">
        <v>415</v>
      </c>
      <c r="AK146" s="73" t="s">
        <v>432</v>
      </c>
      <c r="AL146" s="3"/>
      <c r="AM146" s="4"/>
      <c r="AN146" s="5"/>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6"/>
      <c r="CO146" s="7"/>
      <c r="CP146" s="6"/>
      <c r="CQ146" s="7"/>
      <c r="CR146" s="6"/>
      <c r="CS146" s="7"/>
      <c r="CT146" s="8">
        <f t="shared" si="42"/>
        <v>0</v>
      </c>
      <c r="CU146" s="9">
        <v>50000</v>
      </c>
      <c r="CV146" s="10">
        <f>50000*902.48</f>
        <v>45124000</v>
      </c>
      <c r="CW146" s="11"/>
      <c r="CX146" s="12"/>
      <c r="CY146" s="26"/>
      <c r="CZ146" s="12"/>
      <c r="DA146" s="9"/>
      <c r="DB146" s="10"/>
      <c r="DC146" s="64"/>
    </row>
    <row r="147" spans="1:108" ht="22.5" outlineLevel="2">
      <c r="A147" s="178">
        <v>40324</v>
      </c>
      <c r="B147" s="82" t="s">
        <v>911</v>
      </c>
      <c r="C147" s="82" t="s">
        <v>941</v>
      </c>
      <c r="D147" s="165" t="s">
        <v>1182</v>
      </c>
      <c r="E147" s="167"/>
      <c r="F147" s="66"/>
      <c r="G147" s="66"/>
      <c r="H147" s="66"/>
      <c r="I147" s="66"/>
      <c r="J147" s="66"/>
      <c r="K147" s="66"/>
      <c r="L147" s="66"/>
      <c r="M147" s="66"/>
      <c r="N147" s="66"/>
      <c r="O147" s="66"/>
      <c r="P147" s="66"/>
      <c r="Q147" s="66"/>
      <c r="R147" s="66"/>
      <c r="S147" s="66">
        <v>1</v>
      </c>
      <c r="T147" s="67"/>
      <c r="U147" s="151"/>
      <c r="V147" s="1"/>
      <c r="W147" s="68">
        <f t="shared" si="37"/>
        <v>0</v>
      </c>
      <c r="X147" s="68">
        <f t="shared" si="38"/>
        <v>0</v>
      </c>
      <c r="Y147" s="68">
        <f t="shared" si="39"/>
        <v>0</v>
      </c>
      <c r="Z147" s="68">
        <f t="shared" si="40"/>
        <v>0</v>
      </c>
      <c r="AA147" s="68"/>
      <c r="AB147" s="68">
        <v>0</v>
      </c>
      <c r="AC147" s="69">
        <f t="shared" si="41"/>
        <v>0</v>
      </c>
      <c r="AD147" s="70">
        <v>0</v>
      </c>
      <c r="AE147" s="63">
        <v>40326</v>
      </c>
      <c r="AF147" s="72"/>
      <c r="AG147" s="63" t="s">
        <v>938</v>
      </c>
      <c r="AH147" s="23" t="s">
        <v>939</v>
      </c>
      <c r="AI147" s="60"/>
      <c r="AJ147" s="133" t="s">
        <v>1608</v>
      </c>
      <c r="AK147" s="73" t="s">
        <v>1720</v>
      </c>
      <c r="AL147" s="3"/>
      <c r="AM147" s="4"/>
      <c r="AN147" s="5"/>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6"/>
      <c r="CO147" s="7"/>
      <c r="CP147" s="6"/>
      <c r="CQ147" s="7"/>
      <c r="CR147" s="6"/>
      <c r="CS147" s="7"/>
      <c r="CT147" s="8">
        <f t="shared" si="42"/>
        <v>0</v>
      </c>
      <c r="CU147" s="9"/>
      <c r="CV147" s="10"/>
      <c r="CW147" s="11"/>
      <c r="CX147" s="12"/>
      <c r="CY147" s="26"/>
      <c r="CZ147" s="12"/>
      <c r="DA147" s="9"/>
      <c r="DB147" s="10"/>
      <c r="DC147" s="64"/>
    </row>
    <row r="148" spans="1:108" ht="22.5" outlineLevel="2">
      <c r="A148" s="178">
        <v>40330</v>
      </c>
      <c r="B148" s="82" t="s">
        <v>911</v>
      </c>
      <c r="C148" s="82" t="s">
        <v>941</v>
      </c>
      <c r="D148" s="165" t="s">
        <v>1262</v>
      </c>
      <c r="E148" s="167"/>
      <c r="F148" s="66"/>
      <c r="G148" s="66">
        <v>2</v>
      </c>
      <c r="H148" s="66"/>
      <c r="I148" s="66"/>
      <c r="J148" s="66"/>
      <c r="K148" s="66"/>
      <c r="L148" s="66"/>
      <c r="M148" s="66"/>
      <c r="N148" s="66"/>
      <c r="O148" s="66"/>
      <c r="P148" s="66"/>
      <c r="Q148" s="66"/>
      <c r="R148" s="66"/>
      <c r="S148" s="66"/>
      <c r="T148" s="67"/>
      <c r="U148" s="151" t="s">
        <v>1415</v>
      </c>
      <c r="V148" s="1"/>
      <c r="W148" s="68">
        <f t="shared" si="37"/>
        <v>0</v>
      </c>
      <c r="X148" s="68">
        <f t="shared" si="38"/>
        <v>0</v>
      </c>
      <c r="Y148" s="68">
        <f t="shared" si="39"/>
        <v>0</v>
      </c>
      <c r="Z148" s="68">
        <f t="shared" si="40"/>
        <v>0</v>
      </c>
      <c r="AA148" s="68"/>
      <c r="AB148" s="68">
        <v>0</v>
      </c>
      <c r="AC148" s="69">
        <f t="shared" si="41"/>
        <v>0</v>
      </c>
      <c r="AD148" s="70">
        <v>0</v>
      </c>
      <c r="AE148" s="63">
        <v>40330</v>
      </c>
      <c r="AF148" s="72"/>
      <c r="AG148" s="63" t="s">
        <v>938</v>
      </c>
      <c r="AH148" s="23" t="s">
        <v>939</v>
      </c>
      <c r="AI148" s="60"/>
      <c r="AJ148" s="133" t="s">
        <v>1608</v>
      </c>
      <c r="AK148" s="73" t="s">
        <v>1762</v>
      </c>
      <c r="AL148" s="3"/>
      <c r="AM148" s="4"/>
      <c r="AN148" s="5"/>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6"/>
      <c r="CO148" s="7"/>
      <c r="CP148" s="6"/>
      <c r="CQ148" s="7"/>
      <c r="CR148" s="6"/>
      <c r="CS148" s="7"/>
      <c r="CT148" s="8">
        <f t="shared" si="42"/>
        <v>0</v>
      </c>
      <c r="CU148" s="9"/>
      <c r="CV148" s="10"/>
      <c r="CW148" s="11"/>
      <c r="CX148" s="12"/>
      <c r="CY148" s="26"/>
      <c r="CZ148" s="12"/>
      <c r="DA148" s="9"/>
      <c r="DB148" s="10"/>
      <c r="DC148" s="64"/>
    </row>
    <row r="149" spans="1:108" ht="24" outlineLevel="2">
      <c r="A149" s="178">
        <v>40333</v>
      </c>
      <c r="B149" s="82" t="s">
        <v>911</v>
      </c>
      <c r="C149" s="82" t="s">
        <v>941</v>
      </c>
      <c r="D149" s="165" t="s">
        <v>435</v>
      </c>
      <c r="E149" s="167"/>
      <c r="F149" s="66"/>
      <c r="G149" s="66"/>
      <c r="H149" s="66">
        <v>110</v>
      </c>
      <c r="I149" s="66">
        <v>22</v>
      </c>
      <c r="J149" s="66"/>
      <c r="K149" s="66">
        <v>22</v>
      </c>
      <c r="L149" s="66"/>
      <c r="M149" s="66"/>
      <c r="N149" s="66"/>
      <c r="O149" s="66"/>
      <c r="P149" s="66"/>
      <c r="Q149" s="66"/>
      <c r="R149" s="66"/>
      <c r="S149" s="66"/>
      <c r="T149" s="67"/>
      <c r="U149" s="151"/>
      <c r="V149" s="1"/>
      <c r="W149" s="68">
        <f t="shared" si="37"/>
        <v>0</v>
      </c>
      <c r="X149" s="68">
        <f t="shared" si="38"/>
        <v>0</v>
      </c>
      <c r="Y149" s="68">
        <f t="shared" si="39"/>
        <v>0</v>
      </c>
      <c r="Z149" s="68">
        <f t="shared" si="40"/>
        <v>0</v>
      </c>
      <c r="AA149" s="68"/>
      <c r="AB149" s="68">
        <v>0</v>
      </c>
      <c r="AC149" s="69">
        <f t="shared" si="41"/>
        <v>0</v>
      </c>
      <c r="AD149" s="70">
        <v>0</v>
      </c>
      <c r="AE149" s="63">
        <v>40336</v>
      </c>
      <c r="AF149" s="72"/>
      <c r="AG149" s="63" t="s">
        <v>938</v>
      </c>
      <c r="AH149" s="23" t="s">
        <v>939</v>
      </c>
      <c r="AI149" s="60"/>
      <c r="AJ149" s="133" t="s">
        <v>1608</v>
      </c>
      <c r="AK149" s="73" t="s">
        <v>1671</v>
      </c>
      <c r="AL149" s="3"/>
      <c r="AM149" s="4"/>
      <c r="AN149" s="5"/>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6"/>
      <c r="CO149" s="7"/>
      <c r="CP149" s="6"/>
      <c r="CQ149" s="7"/>
      <c r="CR149" s="6"/>
      <c r="CS149" s="7"/>
      <c r="CT149" s="8">
        <f t="shared" si="42"/>
        <v>0</v>
      </c>
      <c r="CU149" s="9"/>
      <c r="CV149" s="10"/>
      <c r="CW149" s="11"/>
      <c r="CX149" s="12"/>
      <c r="CY149" s="26"/>
      <c r="CZ149" s="12"/>
      <c r="DA149" s="9"/>
      <c r="DB149" s="10"/>
      <c r="DC149" s="64"/>
    </row>
    <row r="150" spans="1:108" outlineLevel="2">
      <c r="A150" s="178">
        <v>40333</v>
      </c>
      <c r="B150" s="82" t="s">
        <v>911</v>
      </c>
      <c r="C150" s="82" t="s">
        <v>1672</v>
      </c>
      <c r="D150" s="165" t="s">
        <v>435</v>
      </c>
      <c r="E150" s="167"/>
      <c r="F150" s="66"/>
      <c r="G150" s="66"/>
      <c r="H150" s="66">
        <v>45</v>
      </c>
      <c r="I150" s="66">
        <v>9</v>
      </c>
      <c r="J150" s="66"/>
      <c r="K150" s="66">
        <v>9</v>
      </c>
      <c r="L150" s="66"/>
      <c r="M150" s="66"/>
      <c r="N150" s="66"/>
      <c r="O150" s="66"/>
      <c r="P150" s="66"/>
      <c r="Q150" s="66"/>
      <c r="R150" s="66"/>
      <c r="S150" s="66"/>
      <c r="T150" s="67"/>
      <c r="U150" s="151"/>
      <c r="V150" s="1"/>
      <c r="W150" s="68">
        <f t="shared" si="37"/>
        <v>0</v>
      </c>
      <c r="X150" s="68">
        <f t="shared" si="38"/>
        <v>0</v>
      </c>
      <c r="Y150" s="68">
        <f t="shared" si="39"/>
        <v>0</v>
      </c>
      <c r="Z150" s="68">
        <f t="shared" si="40"/>
        <v>0</v>
      </c>
      <c r="AA150" s="68"/>
      <c r="AB150" s="68">
        <v>0</v>
      </c>
      <c r="AC150" s="69">
        <f t="shared" si="41"/>
        <v>0</v>
      </c>
      <c r="AD150" s="70">
        <v>0</v>
      </c>
      <c r="AE150" s="63">
        <v>40336</v>
      </c>
      <c r="AF150" s="72"/>
      <c r="AG150" s="63" t="s">
        <v>938</v>
      </c>
      <c r="AH150" s="23" t="s">
        <v>939</v>
      </c>
      <c r="AI150" s="60"/>
      <c r="AJ150" s="133" t="s">
        <v>1608</v>
      </c>
      <c r="AK150" s="73" t="s">
        <v>2219</v>
      </c>
      <c r="AL150" s="3"/>
      <c r="AM150" s="4"/>
      <c r="AN150" s="5"/>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6"/>
      <c r="CO150" s="7"/>
      <c r="CP150" s="6"/>
      <c r="CQ150" s="7"/>
      <c r="CR150" s="6"/>
      <c r="CS150" s="7"/>
      <c r="CT150" s="8">
        <f t="shared" si="42"/>
        <v>0</v>
      </c>
      <c r="CU150" s="9"/>
      <c r="CV150" s="10"/>
      <c r="CW150" s="11"/>
      <c r="CX150" s="12"/>
      <c r="CY150" s="26"/>
      <c r="CZ150" s="12"/>
      <c r="DA150" s="9"/>
      <c r="DB150" s="10"/>
      <c r="DC150" s="64"/>
    </row>
    <row r="151" spans="1:108" outlineLevel="2">
      <c r="A151" s="178">
        <v>40338</v>
      </c>
      <c r="B151" s="82" t="s">
        <v>911</v>
      </c>
      <c r="C151" s="82" t="s">
        <v>255</v>
      </c>
      <c r="D151" s="165" t="s">
        <v>1262</v>
      </c>
      <c r="E151" s="167">
        <v>1</v>
      </c>
      <c r="F151" s="66"/>
      <c r="G151" s="66"/>
      <c r="H151" s="66"/>
      <c r="I151" s="66"/>
      <c r="J151" s="66"/>
      <c r="K151" s="66"/>
      <c r="L151" s="66"/>
      <c r="M151" s="66"/>
      <c r="N151" s="66"/>
      <c r="O151" s="66"/>
      <c r="P151" s="66"/>
      <c r="Q151" s="66"/>
      <c r="R151" s="66"/>
      <c r="S151" s="66"/>
      <c r="T151" s="67"/>
      <c r="U151" s="151"/>
      <c r="V151" s="1"/>
      <c r="W151" s="68">
        <f t="shared" si="37"/>
        <v>0</v>
      </c>
      <c r="X151" s="68">
        <f t="shared" si="38"/>
        <v>0</v>
      </c>
      <c r="Y151" s="68">
        <f t="shared" si="39"/>
        <v>0</v>
      </c>
      <c r="Z151" s="68">
        <f t="shared" si="40"/>
        <v>0</v>
      </c>
      <c r="AA151" s="68"/>
      <c r="AB151" s="68">
        <v>0</v>
      </c>
      <c r="AC151" s="69">
        <f t="shared" si="41"/>
        <v>0</v>
      </c>
      <c r="AD151" s="70">
        <v>0</v>
      </c>
      <c r="AE151" s="63">
        <v>40338</v>
      </c>
      <c r="AF151" s="72"/>
      <c r="AG151" s="63" t="s">
        <v>938</v>
      </c>
      <c r="AH151" s="23" t="s">
        <v>939</v>
      </c>
      <c r="AI151" s="60"/>
      <c r="AJ151" s="133" t="s">
        <v>1608</v>
      </c>
      <c r="AK151" s="73" t="s">
        <v>256</v>
      </c>
      <c r="AL151" s="3"/>
      <c r="AM151" s="4"/>
      <c r="AN151" s="5"/>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6"/>
      <c r="CO151" s="7"/>
      <c r="CP151" s="6"/>
      <c r="CQ151" s="7"/>
      <c r="CR151" s="6"/>
      <c r="CS151" s="7"/>
      <c r="CT151" s="8">
        <f t="shared" si="42"/>
        <v>0</v>
      </c>
      <c r="CU151" s="9"/>
      <c r="CV151" s="10"/>
      <c r="CW151" s="11"/>
      <c r="CX151" s="12"/>
      <c r="CY151" s="26"/>
      <c r="CZ151" s="12"/>
      <c r="DA151" s="9"/>
      <c r="DB151" s="10"/>
      <c r="DC151" s="64"/>
    </row>
    <row r="152" spans="1:108" ht="48" outlineLevel="2">
      <c r="A152" s="178">
        <v>40349</v>
      </c>
      <c r="B152" s="82" t="s">
        <v>911</v>
      </c>
      <c r="C152" s="82" t="s">
        <v>941</v>
      </c>
      <c r="D152" s="165" t="s">
        <v>1262</v>
      </c>
      <c r="E152" s="167"/>
      <c r="F152" s="66"/>
      <c r="G152" s="66"/>
      <c r="H152" s="66">
        <v>925</v>
      </c>
      <c r="I152" s="66">
        <v>185</v>
      </c>
      <c r="J152" s="66"/>
      <c r="K152" s="66">
        <v>185</v>
      </c>
      <c r="L152" s="66"/>
      <c r="M152" s="66"/>
      <c r="N152" s="66"/>
      <c r="O152" s="66"/>
      <c r="P152" s="66"/>
      <c r="Q152" s="66"/>
      <c r="R152" s="66"/>
      <c r="S152" s="66"/>
      <c r="T152" s="67"/>
      <c r="U152" s="151" t="s">
        <v>1435</v>
      </c>
      <c r="V152" s="1"/>
      <c r="W152" s="68">
        <f t="shared" si="37"/>
        <v>0</v>
      </c>
      <c r="X152" s="68">
        <f t="shared" si="38"/>
        <v>0</v>
      </c>
      <c r="Y152" s="68">
        <f t="shared" si="39"/>
        <v>0</v>
      </c>
      <c r="Z152" s="68">
        <f t="shared" si="40"/>
        <v>0</v>
      </c>
      <c r="AA152" s="68"/>
      <c r="AB152" s="68">
        <v>0</v>
      </c>
      <c r="AC152" s="69">
        <f t="shared" si="41"/>
        <v>0</v>
      </c>
      <c r="AD152" s="70">
        <v>0</v>
      </c>
      <c r="AE152" s="63">
        <v>40350</v>
      </c>
      <c r="AF152" s="72"/>
      <c r="AG152" s="63" t="s">
        <v>938</v>
      </c>
      <c r="AH152" s="23" t="s">
        <v>939</v>
      </c>
      <c r="AI152" s="60"/>
      <c r="AJ152" s="133" t="s">
        <v>1608</v>
      </c>
      <c r="AK152" s="73" t="s">
        <v>1913</v>
      </c>
      <c r="AL152" s="3"/>
      <c r="AM152" s="4"/>
      <c r="AN152" s="5"/>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6"/>
      <c r="CO152" s="7"/>
      <c r="CP152" s="6"/>
      <c r="CQ152" s="7"/>
      <c r="CR152" s="6"/>
      <c r="CS152" s="7"/>
      <c r="CT152" s="8">
        <f t="shared" si="42"/>
        <v>0</v>
      </c>
      <c r="CU152" s="9"/>
      <c r="CV152" s="10"/>
      <c r="CW152" s="11"/>
      <c r="CX152" s="12"/>
      <c r="CY152" s="26"/>
      <c r="CZ152" s="12"/>
      <c r="DA152" s="9"/>
      <c r="DB152" s="10"/>
      <c r="DC152" s="64"/>
    </row>
    <row r="153" spans="1:108" ht="22.5" outlineLevel="2">
      <c r="A153" s="178">
        <v>40349</v>
      </c>
      <c r="B153" s="82" t="s">
        <v>911</v>
      </c>
      <c r="C153" s="82" t="s">
        <v>941</v>
      </c>
      <c r="D153" s="165" t="s">
        <v>1182</v>
      </c>
      <c r="E153" s="167"/>
      <c r="F153" s="66"/>
      <c r="G153" s="66"/>
      <c r="H153" s="66">
        <v>30</v>
      </c>
      <c r="I153" s="66">
        <v>6</v>
      </c>
      <c r="J153" s="66"/>
      <c r="K153" s="66">
        <v>6</v>
      </c>
      <c r="L153" s="66"/>
      <c r="M153" s="66"/>
      <c r="N153" s="66"/>
      <c r="O153" s="66"/>
      <c r="P153" s="66"/>
      <c r="Q153" s="66"/>
      <c r="R153" s="66"/>
      <c r="S153" s="66"/>
      <c r="T153" s="67"/>
      <c r="U153" s="151"/>
      <c r="V153" s="1"/>
      <c r="W153" s="68">
        <f t="shared" si="37"/>
        <v>0</v>
      </c>
      <c r="X153" s="68">
        <f t="shared" si="38"/>
        <v>0</v>
      </c>
      <c r="Y153" s="68">
        <f t="shared" si="39"/>
        <v>0</v>
      </c>
      <c r="Z153" s="68">
        <f t="shared" si="40"/>
        <v>0</v>
      </c>
      <c r="AA153" s="68"/>
      <c r="AB153" s="68">
        <v>0</v>
      </c>
      <c r="AC153" s="69">
        <f t="shared" si="41"/>
        <v>0</v>
      </c>
      <c r="AD153" s="70">
        <v>0</v>
      </c>
      <c r="AE153" s="63">
        <v>40350</v>
      </c>
      <c r="AF153" s="72"/>
      <c r="AG153" s="63" t="s">
        <v>938</v>
      </c>
      <c r="AH153" s="23" t="s">
        <v>939</v>
      </c>
      <c r="AI153" s="60"/>
      <c r="AJ153" s="133" t="s">
        <v>1608</v>
      </c>
      <c r="AK153" s="73" t="s">
        <v>1399</v>
      </c>
      <c r="AL153" s="3"/>
      <c r="AM153" s="4"/>
      <c r="AN153" s="5"/>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6"/>
      <c r="CO153" s="7"/>
      <c r="CP153" s="6"/>
      <c r="CQ153" s="7"/>
      <c r="CR153" s="6"/>
      <c r="CS153" s="7"/>
      <c r="CT153" s="8">
        <f t="shared" si="42"/>
        <v>0</v>
      </c>
      <c r="CU153" s="9"/>
      <c r="CV153" s="10"/>
      <c r="CW153" s="11"/>
      <c r="CX153" s="12"/>
      <c r="CY153" s="26"/>
      <c r="CZ153" s="12"/>
      <c r="DA153" s="9"/>
      <c r="DB153" s="10"/>
      <c r="DC153" s="64"/>
    </row>
    <row r="154" spans="1:108" ht="24" outlineLevel="2">
      <c r="A154" s="178">
        <v>40362</v>
      </c>
      <c r="B154" s="82" t="s">
        <v>911</v>
      </c>
      <c r="C154" s="82" t="s">
        <v>941</v>
      </c>
      <c r="D154" s="165" t="s">
        <v>1262</v>
      </c>
      <c r="E154" s="167"/>
      <c r="F154" s="66"/>
      <c r="G154" s="66"/>
      <c r="H154" s="66">
        <v>520</v>
      </c>
      <c r="I154" s="66">
        <v>104</v>
      </c>
      <c r="J154" s="66">
        <v>3</v>
      </c>
      <c r="K154" s="66">
        <v>101</v>
      </c>
      <c r="L154" s="66"/>
      <c r="M154" s="66"/>
      <c r="N154" s="66"/>
      <c r="O154" s="66"/>
      <c r="P154" s="66"/>
      <c r="Q154" s="66"/>
      <c r="R154" s="66"/>
      <c r="S154" s="66"/>
      <c r="T154" s="67"/>
      <c r="U154" s="151"/>
      <c r="V154" s="1"/>
      <c r="W154" s="68">
        <f t="shared" si="37"/>
        <v>0</v>
      </c>
      <c r="X154" s="68">
        <f t="shared" si="38"/>
        <v>0</v>
      </c>
      <c r="Y154" s="68">
        <f t="shared" si="39"/>
        <v>0</v>
      </c>
      <c r="Z154" s="68">
        <f t="shared" si="40"/>
        <v>0</v>
      </c>
      <c r="AA154" s="68"/>
      <c r="AB154" s="68">
        <v>0</v>
      </c>
      <c r="AC154" s="69">
        <f t="shared" si="41"/>
        <v>0</v>
      </c>
      <c r="AD154" s="70">
        <v>0</v>
      </c>
      <c r="AE154" s="63">
        <v>40367</v>
      </c>
      <c r="AF154" s="72"/>
      <c r="AG154" s="63" t="s">
        <v>938</v>
      </c>
      <c r="AH154" s="23" t="s">
        <v>939</v>
      </c>
      <c r="AI154" s="60"/>
      <c r="AJ154" s="133" t="s">
        <v>1608</v>
      </c>
      <c r="AK154" s="73" t="s">
        <v>271</v>
      </c>
      <c r="AL154" s="3"/>
      <c r="AM154" s="4"/>
      <c r="AN154" s="5"/>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6"/>
      <c r="CO154" s="7"/>
      <c r="CP154" s="6"/>
      <c r="CQ154" s="7"/>
      <c r="CR154" s="6"/>
      <c r="CS154" s="7"/>
      <c r="CT154" s="8">
        <f t="shared" si="42"/>
        <v>0</v>
      </c>
      <c r="CU154" s="9"/>
      <c r="CV154" s="10"/>
      <c r="CW154" s="11"/>
      <c r="CX154" s="12"/>
      <c r="CY154" s="26"/>
      <c r="CZ154" s="12"/>
      <c r="DA154" s="9"/>
      <c r="DB154" s="10"/>
      <c r="DC154" s="64"/>
    </row>
    <row r="155" spans="1:108" ht="24" outlineLevel="2">
      <c r="A155" s="178">
        <v>40362</v>
      </c>
      <c r="B155" s="82" t="s">
        <v>911</v>
      </c>
      <c r="C155" s="82" t="s">
        <v>1755</v>
      </c>
      <c r="D155" s="165" t="s">
        <v>1262</v>
      </c>
      <c r="E155" s="167"/>
      <c r="F155" s="66"/>
      <c r="G155" s="66"/>
      <c r="H155" s="66">
        <v>265</v>
      </c>
      <c r="I155" s="66">
        <v>53</v>
      </c>
      <c r="J155" s="66">
        <v>3</v>
      </c>
      <c r="K155" s="66">
        <v>50</v>
      </c>
      <c r="L155" s="66"/>
      <c r="M155" s="66"/>
      <c r="N155" s="66"/>
      <c r="O155" s="66"/>
      <c r="P155" s="66"/>
      <c r="Q155" s="66"/>
      <c r="R155" s="66"/>
      <c r="S155" s="66"/>
      <c r="T155" s="67"/>
      <c r="U155" s="151"/>
      <c r="V155" s="1"/>
      <c r="W155" s="68">
        <f t="shared" si="37"/>
        <v>0</v>
      </c>
      <c r="X155" s="68">
        <f t="shared" si="38"/>
        <v>0</v>
      </c>
      <c r="Y155" s="68">
        <f t="shared" si="39"/>
        <v>0</v>
      </c>
      <c r="Z155" s="68">
        <f t="shared" si="40"/>
        <v>0</v>
      </c>
      <c r="AA155" s="68"/>
      <c r="AB155" s="68">
        <v>0</v>
      </c>
      <c r="AC155" s="69">
        <f t="shared" si="41"/>
        <v>0</v>
      </c>
      <c r="AD155" s="70">
        <v>0</v>
      </c>
      <c r="AE155" s="63">
        <v>40367</v>
      </c>
      <c r="AF155" s="72"/>
      <c r="AG155" s="63" t="s">
        <v>938</v>
      </c>
      <c r="AH155" s="23" t="s">
        <v>939</v>
      </c>
      <c r="AI155" s="60"/>
      <c r="AJ155" s="133" t="s">
        <v>1608</v>
      </c>
      <c r="AK155" s="120" t="s">
        <v>272</v>
      </c>
      <c r="AL155" s="3"/>
      <c r="AM155" s="4"/>
      <c r="AN155" s="5"/>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6"/>
      <c r="CO155" s="7"/>
      <c r="CP155" s="6"/>
      <c r="CQ155" s="7"/>
      <c r="CR155" s="6"/>
      <c r="CS155" s="7"/>
      <c r="CT155" s="8">
        <f t="shared" si="42"/>
        <v>0</v>
      </c>
      <c r="CU155" s="9"/>
      <c r="CV155" s="10"/>
      <c r="CW155" s="11"/>
      <c r="CX155" s="12"/>
      <c r="CY155" s="26"/>
      <c r="CZ155" s="12"/>
      <c r="DA155" s="9"/>
      <c r="DB155" s="10"/>
      <c r="DC155" s="64"/>
    </row>
    <row r="156" spans="1:108" ht="22.5" outlineLevel="2">
      <c r="A156" s="178">
        <v>40364</v>
      </c>
      <c r="B156" s="82" t="s">
        <v>911</v>
      </c>
      <c r="C156" s="82" t="s">
        <v>941</v>
      </c>
      <c r="D156" s="165" t="s">
        <v>435</v>
      </c>
      <c r="E156" s="167"/>
      <c r="F156" s="66">
        <v>7</v>
      </c>
      <c r="G156" s="66"/>
      <c r="H156" s="66">
        <v>390</v>
      </c>
      <c r="I156" s="66">
        <v>78</v>
      </c>
      <c r="J156" s="66">
        <v>2</v>
      </c>
      <c r="K156" s="66">
        <v>76</v>
      </c>
      <c r="L156" s="66"/>
      <c r="M156" s="66"/>
      <c r="N156" s="66"/>
      <c r="O156" s="66"/>
      <c r="P156" s="66"/>
      <c r="Q156" s="66"/>
      <c r="R156" s="66"/>
      <c r="S156" s="66">
        <v>1</v>
      </c>
      <c r="T156" s="67"/>
      <c r="U156" s="151" t="s">
        <v>277</v>
      </c>
      <c r="V156" s="1"/>
      <c r="W156" s="68">
        <f t="shared" si="37"/>
        <v>0</v>
      </c>
      <c r="X156" s="68">
        <f t="shared" si="38"/>
        <v>0</v>
      </c>
      <c r="Y156" s="68">
        <f t="shared" si="39"/>
        <v>0</v>
      </c>
      <c r="Z156" s="68">
        <f t="shared" si="40"/>
        <v>0</v>
      </c>
      <c r="AA156" s="68"/>
      <c r="AB156" s="68">
        <v>0</v>
      </c>
      <c r="AC156" s="69">
        <f t="shared" si="41"/>
        <v>0</v>
      </c>
      <c r="AD156" s="70">
        <v>0</v>
      </c>
      <c r="AE156" s="63">
        <v>40367</v>
      </c>
      <c r="AF156" s="72"/>
      <c r="AG156" s="63" t="s">
        <v>938</v>
      </c>
      <c r="AH156" s="23" t="s">
        <v>939</v>
      </c>
      <c r="AI156" s="60"/>
      <c r="AJ156" s="133" t="s">
        <v>1608</v>
      </c>
      <c r="AK156" s="73" t="s">
        <v>278</v>
      </c>
      <c r="AL156" s="3"/>
      <c r="AM156" s="4"/>
      <c r="AN156" s="5"/>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6"/>
      <c r="CO156" s="7"/>
      <c r="CP156" s="6"/>
      <c r="CQ156" s="7"/>
      <c r="CR156" s="6"/>
      <c r="CS156" s="7"/>
      <c r="CT156" s="8">
        <f t="shared" si="42"/>
        <v>0</v>
      </c>
      <c r="CU156" s="9"/>
      <c r="CV156" s="10"/>
      <c r="CW156" s="11"/>
      <c r="CX156" s="12"/>
      <c r="CY156" s="26"/>
      <c r="CZ156" s="12"/>
      <c r="DA156" s="9"/>
      <c r="DB156" s="10"/>
      <c r="DC156" s="64"/>
    </row>
    <row r="157" spans="1:108" ht="36" outlineLevel="2">
      <c r="A157" s="178">
        <v>40367</v>
      </c>
      <c r="B157" s="174" t="s">
        <v>911</v>
      </c>
      <c r="C157" s="174" t="s">
        <v>1505</v>
      </c>
      <c r="D157" s="179" t="s">
        <v>1262</v>
      </c>
      <c r="E157" s="163"/>
      <c r="F157" s="105"/>
      <c r="G157" s="105"/>
      <c r="H157" s="105">
        <f>45*6</f>
        <v>270</v>
      </c>
      <c r="I157" s="105">
        <v>45</v>
      </c>
      <c r="J157" s="105"/>
      <c r="K157" s="105">
        <v>1</v>
      </c>
      <c r="L157" s="105"/>
      <c r="M157" s="105"/>
      <c r="N157" s="105"/>
      <c r="O157" s="105"/>
      <c r="P157" s="105"/>
      <c r="Q157" s="105"/>
      <c r="R157" s="105"/>
      <c r="S157" s="105"/>
      <c r="T157" s="106"/>
      <c r="U157" s="130"/>
      <c r="V157" s="1"/>
      <c r="W157" s="68">
        <f t="shared" si="37"/>
        <v>0</v>
      </c>
      <c r="X157" s="68">
        <f t="shared" si="38"/>
        <v>0</v>
      </c>
      <c r="Y157" s="68">
        <f t="shared" si="39"/>
        <v>0</v>
      </c>
      <c r="Z157" s="68">
        <f t="shared" si="40"/>
        <v>0</v>
      </c>
      <c r="AA157" s="68"/>
      <c r="AB157" s="68">
        <v>0</v>
      </c>
      <c r="AC157" s="69">
        <f t="shared" si="41"/>
        <v>0</v>
      </c>
      <c r="AD157" s="70">
        <v>0</v>
      </c>
      <c r="AE157" s="63">
        <v>40413</v>
      </c>
      <c r="AF157" s="72">
        <v>42603</v>
      </c>
      <c r="AG157" s="63" t="s">
        <v>954</v>
      </c>
      <c r="AH157" s="23" t="s">
        <v>1572</v>
      </c>
      <c r="AI157" s="60"/>
      <c r="AJ157" s="133" t="s">
        <v>2259</v>
      </c>
      <c r="AK157" s="121" t="s">
        <v>2258</v>
      </c>
      <c r="AL157" s="107"/>
      <c r="AM157" s="108"/>
      <c r="AN157" s="109"/>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10"/>
      <c r="CO157" s="111"/>
      <c r="CP157" s="110"/>
      <c r="CQ157" s="111"/>
      <c r="CR157" s="110"/>
      <c r="CS157" s="111"/>
      <c r="CT157" s="112">
        <f t="shared" si="42"/>
        <v>0</v>
      </c>
      <c r="CU157" s="113"/>
      <c r="CV157" s="114"/>
      <c r="CW157" s="115"/>
      <c r="CX157" s="116"/>
      <c r="CY157" s="117"/>
      <c r="CZ157" s="116"/>
      <c r="DA157" s="113"/>
      <c r="DB157" s="114"/>
      <c r="DC157" s="64"/>
      <c r="DD157" s="118"/>
    </row>
    <row r="158" spans="1:108" ht="36" outlineLevel="2">
      <c r="A158" s="178">
        <v>40369</v>
      </c>
      <c r="B158" s="82" t="s">
        <v>911</v>
      </c>
      <c r="C158" s="82" t="s">
        <v>1464</v>
      </c>
      <c r="D158" s="165" t="s">
        <v>1262</v>
      </c>
      <c r="E158" s="167"/>
      <c r="F158" s="66"/>
      <c r="G158" s="66"/>
      <c r="H158" s="66">
        <v>25</v>
      </c>
      <c r="I158" s="66">
        <v>5</v>
      </c>
      <c r="J158" s="66"/>
      <c r="K158" s="66">
        <v>5</v>
      </c>
      <c r="L158" s="66"/>
      <c r="M158" s="66"/>
      <c r="N158" s="66"/>
      <c r="O158" s="66"/>
      <c r="P158" s="66"/>
      <c r="Q158" s="66"/>
      <c r="R158" s="66"/>
      <c r="S158" s="66"/>
      <c r="T158" s="67"/>
      <c r="U158" s="151"/>
      <c r="V158" s="1"/>
      <c r="W158" s="68">
        <f t="shared" si="37"/>
        <v>0</v>
      </c>
      <c r="X158" s="68">
        <f t="shared" si="38"/>
        <v>0</v>
      </c>
      <c r="Y158" s="68">
        <f t="shared" si="39"/>
        <v>0</v>
      </c>
      <c r="Z158" s="68">
        <f t="shared" si="40"/>
        <v>0</v>
      </c>
      <c r="AA158" s="68"/>
      <c r="AB158" s="68">
        <v>0</v>
      </c>
      <c r="AC158" s="69">
        <f t="shared" si="41"/>
        <v>0</v>
      </c>
      <c r="AD158" s="70">
        <v>0</v>
      </c>
      <c r="AE158" s="63">
        <v>40371</v>
      </c>
      <c r="AF158" s="72"/>
      <c r="AG158" s="63" t="s">
        <v>938</v>
      </c>
      <c r="AH158" s="23" t="s">
        <v>939</v>
      </c>
      <c r="AI158" s="60"/>
      <c r="AJ158" s="133" t="s">
        <v>1608</v>
      </c>
      <c r="AK158" s="73" t="s">
        <v>1069</v>
      </c>
      <c r="AL158" s="3"/>
      <c r="AM158" s="4"/>
      <c r="AN158" s="5"/>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6"/>
      <c r="CO158" s="7"/>
      <c r="CP158" s="6"/>
      <c r="CQ158" s="7"/>
      <c r="CR158" s="6"/>
      <c r="CS158" s="7"/>
      <c r="CT158" s="8">
        <f t="shared" si="42"/>
        <v>0</v>
      </c>
      <c r="CU158" s="9"/>
      <c r="CV158" s="10"/>
      <c r="CW158" s="11"/>
      <c r="CX158" s="12"/>
      <c r="CY158" s="26"/>
      <c r="CZ158" s="12"/>
      <c r="DA158" s="9"/>
      <c r="DB158" s="10"/>
      <c r="DC158" s="64"/>
    </row>
    <row r="159" spans="1:108" outlineLevel="2">
      <c r="A159" s="178">
        <v>40369</v>
      </c>
      <c r="B159" s="82" t="s">
        <v>911</v>
      </c>
      <c r="C159" s="82" t="s">
        <v>1464</v>
      </c>
      <c r="D159" s="165" t="s">
        <v>1182</v>
      </c>
      <c r="E159" s="167"/>
      <c r="F159" s="66"/>
      <c r="G159" s="66"/>
      <c r="H159" s="66">
        <v>10</v>
      </c>
      <c r="I159" s="66">
        <v>2</v>
      </c>
      <c r="J159" s="66"/>
      <c r="K159" s="66">
        <v>2</v>
      </c>
      <c r="L159" s="66"/>
      <c r="M159" s="66"/>
      <c r="N159" s="66"/>
      <c r="O159" s="66"/>
      <c r="P159" s="66"/>
      <c r="Q159" s="66"/>
      <c r="R159" s="66"/>
      <c r="S159" s="66"/>
      <c r="T159" s="67"/>
      <c r="U159" s="151"/>
      <c r="V159" s="1"/>
      <c r="W159" s="68">
        <f t="shared" si="37"/>
        <v>0</v>
      </c>
      <c r="X159" s="68">
        <f t="shared" si="38"/>
        <v>0</v>
      </c>
      <c r="Y159" s="68">
        <f t="shared" si="39"/>
        <v>0</v>
      </c>
      <c r="Z159" s="68">
        <f t="shared" si="40"/>
        <v>0</v>
      </c>
      <c r="AA159" s="68"/>
      <c r="AB159" s="68">
        <v>0</v>
      </c>
      <c r="AC159" s="69">
        <f t="shared" si="41"/>
        <v>0</v>
      </c>
      <c r="AD159" s="70">
        <v>0</v>
      </c>
      <c r="AE159" s="63">
        <v>40371</v>
      </c>
      <c r="AF159" s="72"/>
      <c r="AG159" s="63" t="s">
        <v>938</v>
      </c>
      <c r="AH159" s="23" t="s">
        <v>939</v>
      </c>
      <c r="AI159" s="60"/>
      <c r="AJ159" s="133" t="s">
        <v>1608</v>
      </c>
      <c r="AK159" s="73" t="s">
        <v>1070</v>
      </c>
      <c r="AL159" s="3"/>
      <c r="AM159" s="4"/>
      <c r="AN159" s="5"/>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6"/>
      <c r="CO159" s="7"/>
      <c r="CP159" s="6"/>
      <c r="CQ159" s="7"/>
      <c r="CR159" s="6"/>
      <c r="CS159" s="7"/>
      <c r="CT159" s="8">
        <f t="shared" si="42"/>
        <v>0</v>
      </c>
      <c r="CU159" s="9"/>
      <c r="CV159" s="10"/>
      <c r="CW159" s="11"/>
      <c r="CX159" s="12"/>
      <c r="CY159" s="26"/>
      <c r="CZ159" s="12"/>
      <c r="DA159" s="9"/>
      <c r="DB159" s="10"/>
      <c r="DC159" s="64"/>
    </row>
    <row r="160" spans="1:108" ht="36" outlineLevel="2">
      <c r="A160" s="178">
        <v>40370</v>
      </c>
      <c r="B160" s="82" t="s">
        <v>911</v>
      </c>
      <c r="C160" s="82" t="s">
        <v>941</v>
      </c>
      <c r="D160" s="165" t="s">
        <v>1262</v>
      </c>
      <c r="E160" s="167"/>
      <c r="F160" s="66"/>
      <c r="G160" s="66"/>
      <c r="H160" s="66">
        <v>1175</v>
      </c>
      <c r="I160" s="66">
        <v>235</v>
      </c>
      <c r="J160" s="66"/>
      <c r="K160" s="66">
        <v>235</v>
      </c>
      <c r="L160" s="66"/>
      <c r="M160" s="66"/>
      <c r="N160" s="66"/>
      <c r="O160" s="66"/>
      <c r="P160" s="66"/>
      <c r="Q160" s="66"/>
      <c r="R160" s="66"/>
      <c r="S160" s="66"/>
      <c r="T160" s="67"/>
      <c r="U160" s="151"/>
      <c r="V160" s="1"/>
      <c r="W160" s="68">
        <f t="shared" si="37"/>
        <v>0</v>
      </c>
      <c r="X160" s="68">
        <f t="shared" si="38"/>
        <v>0</v>
      </c>
      <c r="Y160" s="68">
        <f t="shared" si="39"/>
        <v>0</v>
      </c>
      <c r="Z160" s="68">
        <f t="shared" si="40"/>
        <v>0</v>
      </c>
      <c r="AA160" s="68"/>
      <c r="AB160" s="68">
        <v>0</v>
      </c>
      <c r="AC160" s="69">
        <f t="shared" si="41"/>
        <v>0</v>
      </c>
      <c r="AD160" s="70">
        <v>0</v>
      </c>
      <c r="AE160" s="63">
        <v>40371</v>
      </c>
      <c r="AF160" s="72"/>
      <c r="AG160" s="63" t="s">
        <v>938</v>
      </c>
      <c r="AH160" s="23" t="s">
        <v>939</v>
      </c>
      <c r="AI160" s="60"/>
      <c r="AJ160" s="133" t="s">
        <v>1608</v>
      </c>
      <c r="AK160" s="73" t="s">
        <v>1074</v>
      </c>
      <c r="AL160" s="3"/>
      <c r="AM160" s="4"/>
      <c r="AN160" s="5"/>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6"/>
      <c r="CO160" s="7"/>
      <c r="CP160" s="6"/>
      <c r="CQ160" s="7"/>
      <c r="CR160" s="6"/>
      <c r="CS160" s="7"/>
      <c r="CT160" s="8">
        <f t="shared" si="42"/>
        <v>0</v>
      </c>
      <c r="CU160" s="9"/>
      <c r="CV160" s="10"/>
      <c r="CW160" s="11"/>
      <c r="CX160" s="12"/>
      <c r="CY160" s="26"/>
      <c r="CZ160" s="12"/>
      <c r="DA160" s="9"/>
      <c r="DB160" s="10"/>
      <c r="DC160" s="64"/>
    </row>
    <row r="161" spans="1:108" ht="156" outlineLevel="2">
      <c r="A161" s="178">
        <v>40371</v>
      </c>
      <c r="B161" s="82" t="s">
        <v>911</v>
      </c>
      <c r="C161" s="82" t="s">
        <v>941</v>
      </c>
      <c r="D161" s="165" t="s">
        <v>1262</v>
      </c>
      <c r="E161" s="167">
        <v>1</v>
      </c>
      <c r="F161" s="66"/>
      <c r="G161" s="66"/>
      <c r="H161" s="66">
        <f>2200*5</f>
        <v>11000</v>
      </c>
      <c r="I161" s="66">
        <v>2200</v>
      </c>
      <c r="J161" s="66">
        <v>34</v>
      </c>
      <c r="K161" s="66">
        <v>2166</v>
      </c>
      <c r="L161" s="66"/>
      <c r="M161" s="66"/>
      <c r="N161" s="66"/>
      <c r="O161" s="66"/>
      <c r="P161" s="66"/>
      <c r="Q161" s="66"/>
      <c r="R161" s="66">
        <v>4</v>
      </c>
      <c r="S161" s="66"/>
      <c r="T161" s="67"/>
      <c r="U161" s="151"/>
      <c r="V161" s="1">
        <v>40402</v>
      </c>
      <c r="W161" s="68">
        <f t="shared" si="37"/>
        <v>51100000</v>
      </c>
      <c r="X161" s="68">
        <f t="shared" si="38"/>
        <v>59500000</v>
      </c>
      <c r="Y161" s="68">
        <f t="shared" si="39"/>
        <v>0</v>
      </c>
      <c r="Z161" s="68">
        <f t="shared" si="40"/>
        <v>18000000</v>
      </c>
      <c r="AA161" s="68"/>
      <c r="AB161" s="68">
        <v>0</v>
      </c>
      <c r="AC161" s="69">
        <f t="shared" si="41"/>
        <v>128600000</v>
      </c>
      <c r="AD161" s="70">
        <v>0</v>
      </c>
      <c r="AE161" s="63"/>
      <c r="AF161" s="72">
        <v>36755</v>
      </c>
      <c r="AG161" s="63" t="s">
        <v>954</v>
      </c>
      <c r="AH161" s="23" t="s">
        <v>955</v>
      </c>
      <c r="AI161" s="60">
        <v>241</v>
      </c>
      <c r="AJ161" s="133" t="s">
        <v>1476</v>
      </c>
      <c r="AK161" s="73" t="s">
        <v>789</v>
      </c>
      <c r="AL161" s="3"/>
      <c r="AM161" s="4"/>
      <c r="AN161" s="5"/>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6">
        <v>700</v>
      </c>
      <c r="CO161" s="7">
        <f>700*37000</f>
        <v>25900000</v>
      </c>
      <c r="CP161" s="6">
        <v>700</v>
      </c>
      <c r="CQ161" s="7">
        <f>700*36000</f>
        <v>25200000</v>
      </c>
      <c r="CR161" s="6"/>
      <c r="CS161" s="7"/>
      <c r="CT161" s="8">
        <f t="shared" si="42"/>
        <v>51100000</v>
      </c>
      <c r="CU161" s="9">
        <v>20000</v>
      </c>
      <c r="CV161" s="10">
        <f>20000*900</f>
        <v>18000000</v>
      </c>
      <c r="CW161" s="11">
        <v>700</v>
      </c>
      <c r="CX161" s="12">
        <f>700*85000</f>
        <v>59500000</v>
      </c>
      <c r="CY161" s="26"/>
      <c r="CZ161" s="12"/>
      <c r="DA161" s="9"/>
      <c r="DB161" s="10"/>
      <c r="DC161" s="64"/>
    </row>
    <row r="162" spans="1:108" ht="48" outlineLevel="2">
      <c r="A162" s="178">
        <v>40371</v>
      </c>
      <c r="B162" s="82" t="s">
        <v>911</v>
      </c>
      <c r="C162" s="82" t="s">
        <v>953</v>
      </c>
      <c r="D162" s="165" t="s">
        <v>1262</v>
      </c>
      <c r="E162" s="167"/>
      <c r="F162" s="66"/>
      <c r="G162" s="66"/>
      <c r="H162" s="66"/>
      <c r="I162" s="66"/>
      <c r="J162" s="66"/>
      <c r="K162" s="66"/>
      <c r="L162" s="66"/>
      <c r="M162" s="66"/>
      <c r="N162" s="66"/>
      <c r="O162" s="66"/>
      <c r="P162" s="66"/>
      <c r="Q162" s="66"/>
      <c r="R162" s="66"/>
      <c r="S162" s="66"/>
      <c r="T162" s="67"/>
      <c r="U162" s="151"/>
      <c r="V162" s="1">
        <v>40386</v>
      </c>
      <c r="W162" s="68">
        <f t="shared" si="37"/>
        <v>94852000</v>
      </c>
      <c r="X162" s="68">
        <f t="shared" si="38"/>
        <v>110500000</v>
      </c>
      <c r="Y162" s="68">
        <f t="shared" si="39"/>
        <v>0</v>
      </c>
      <c r="Z162" s="68">
        <f t="shared" si="40"/>
        <v>45000000</v>
      </c>
      <c r="AA162" s="68"/>
      <c r="AB162" s="68">
        <v>0</v>
      </c>
      <c r="AC162" s="69">
        <f t="shared" si="41"/>
        <v>250352000</v>
      </c>
      <c r="AD162" s="70">
        <v>0</v>
      </c>
      <c r="AE162" s="63">
        <v>40384</v>
      </c>
      <c r="AF162" s="79" t="s">
        <v>259</v>
      </c>
      <c r="AG162" s="63" t="s">
        <v>954</v>
      </c>
      <c r="AH162" s="23" t="s">
        <v>955</v>
      </c>
      <c r="AI162" s="75" t="s">
        <v>2058</v>
      </c>
      <c r="AJ162" s="133" t="s">
        <v>1476</v>
      </c>
      <c r="AK162" s="73" t="s">
        <v>803</v>
      </c>
      <c r="AL162" s="3"/>
      <c r="AM162" s="4"/>
      <c r="AN162" s="5"/>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6">
        <f>1000+300</f>
        <v>1300</v>
      </c>
      <c r="CO162" s="7">
        <f>1000*36952+300*37000</f>
        <v>48052000</v>
      </c>
      <c r="CP162" s="6">
        <f>1000+300</f>
        <v>1300</v>
      </c>
      <c r="CQ162" s="7">
        <f>1000*36000+300*36000</f>
        <v>46800000</v>
      </c>
      <c r="CR162" s="6"/>
      <c r="CS162" s="7"/>
      <c r="CT162" s="8">
        <f t="shared" si="42"/>
        <v>94852000</v>
      </c>
      <c r="CU162" s="9">
        <v>50000</v>
      </c>
      <c r="CV162" s="10">
        <f>50000*900</f>
        <v>45000000</v>
      </c>
      <c r="CW162" s="11">
        <f>1000+300</f>
        <v>1300</v>
      </c>
      <c r="CX162" s="12">
        <f>1000*85000+300*85000</f>
        <v>110500000</v>
      </c>
      <c r="CY162" s="26"/>
      <c r="CZ162" s="12"/>
      <c r="DA162" s="9"/>
      <c r="DB162" s="10"/>
      <c r="DC162" s="64"/>
    </row>
    <row r="163" spans="1:108" outlineLevel="2">
      <c r="A163" s="178">
        <v>40371</v>
      </c>
      <c r="B163" s="82" t="s">
        <v>911</v>
      </c>
      <c r="C163" s="82" t="s">
        <v>1421</v>
      </c>
      <c r="D163" s="165" t="s">
        <v>1262</v>
      </c>
      <c r="E163" s="167"/>
      <c r="F163" s="66"/>
      <c r="G163" s="66"/>
      <c r="H163" s="66">
        <v>20</v>
      </c>
      <c r="I163" s="66">
        <v>4</v>
      </c>
      <c r="J163" s="66"/>
      <c r="K163" s="66">
        <v>4</v>
      </c>
      <c r="L163" s="66"/>
      <c r="M163" s="66"/>
      <c r="N163" s="66"/>
      <c r="O163" s="66"/>
      <c r="P163" s="66"/>
      <c r="Q163" s="66"/>
      <c r="R163" s="66"/>
      <c r="S163" s="66"/>
      <c r="T163" s="67"/>
      <c r="U163" s="151"/>
      <c r="V163" s="1"/>
      <c r="W163" s="68">
        <f t="shared" si="37"/>
        <v>0</v>
      </c>
      <c r="X163" s="68">
        <f t="shared" si="38"/>
        <v>0</v>
      </c>
      <c r="Y163" s="68">
        <f t="shared" si="39"/>
        <v>0</v>
      </c>
      <c r="Z163" s="68">
        <f t="shared" si="40"/>
        <v>0</v>
      </c>
      <c r="AA163" s="68"/>
      <c r="AB163" s="68">
        <v>0</v>
      </c>
      <c r="AC163" s="69">
        <f t="shared" si="41"/>
        <v>0</v>
      </c>
      <c r="AD163" s="70">
        <v>0</v>
      </c>
      <c r="AE163" s="63">
        <v>40375</v>
      </c>
      <c r="AF163" s="72"/>
      <c r="AG163" s="63" t="s">
        <v>938</v>
      </c>
      <c r="AH163" s="23" t="s">
        <v>939</v>
      </c>
      <c r="AI163" s="60"/>
      <c r="AJ163" s="133" t="s">
        <v>1608</v>
      </c>
      <c r="AK163" s="73" t="s">
        <v>1422</v>
      </c>
      <c r="AL163" s="3"/>
      <c r="AM163" s="4"/>
      <c r="AN163" s="5"/>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6"/>
      <c r="CO163" s="7"/>
      <c r="CP163" s="6"/>
      <c r="CQ163" s="7"/>
      <c r="CR163" s="6"/>
      <c r="CS163" s="7"/>
      <c r="CT163" s="8">
        <f t="shared" si="42"/>
        <v>0</v>
      </c>
      <c r="CU163" s="9"/>
      <c r="CV163" s="10"/>
      <c r="CW163" s="11"/>
      <c r="CX163" s="12"/>
      <c r="CY163" s="26"/>
      <c r="CZ163" s="12"/>
      <c r="DA163" s="9"/>
      <c r="DB163" s="10"/>
      <c r="DC163" s="64"/>
    </row>
    <row r="164" spans="1:108" ht="120" outlineLevel="2">
      <c r="A164" s="178">
        <v>40371</v>
      </c>
      <c r="B164" s="82" t="s">
        <v>911</v>
      </c>
      <c r="C164" s="82" t="s">
        <v>1755</v>
      </c>
      <c r="D164" s="165" t="s">
        <v>1262</v>
      </c>
      <c r="E164" s="167">
        <v>1</v>
      </c>
      <c r="F164" s="66"/>
      <c r="G164" s="66"/>
      <c r="H164" s="66">
        <f>1460*5</f>
        <v>7300</v>
      </c>
      <c r="I164" s="66">
        <v>1460</v>
      </c>
      <c r="J164" s="66"/>
      <c r="K164" s="66">
        <v>1460</v>
      </c>
      <c r="L164" s="66"/>
      <c r="M164" s="66"/>
      <c r="N164" s="66"/>
      <c r="O164" s="66"/>
      <c r="P164" s="66"/>
      <c r="Q164" s="66"/>
      <c r="R164" s="66"/>
      <c r="S164" s="66"/>
      <c r="T164" s="67"/>
      <c r="U164" s="151"/>
      <c r="V164" s="1">
        <v>40476</v>
      </c>
      <c r="W164" s="68">
        <f t="shared" si="37"/>
        <v>77435400</v>
      </c>
      <c r="X164" s="68">
        <f t="shared" si="38"/>
        <v>0</v>
      </c>
      <c r="Y164" s="68">
        <f t="shared" si="39"/>
        <v>0</v>
      </c>
      <c r="Z164" s="68">
        <f t="shared" si="40"/>
        <v>0</v>
      </c>
      <c r="AA164" s="68"/>
      <c r="AB164" s="68">
        <v>0</v>
      </c>
      <c r="AC164" s="69">
        <f t="shared" si="41"/>
        <v>77435400</v>
      </c>
      <c r="AD164" s="70">
        <v>0</v>
      </c>
      <c r="AE164" s="63">
        <v>40408</v>
      </c>
      <c r="AF164" s="72">
        <v>41544</v>
      </c>
      <c r="AG164" s="63" t="s">
        <v>954</v>
      </c>
      <c r="AH164" s="23" t="s">
        <v>955</v>
      </c>
      <c r="AI164" s="60">
        <v>22559</v>
      </c>
      <c r="AJ164" s="133" t="s">
        <v>1476</v>
      </c>
      <c r="AK164" s="120" t="s">
        <v>1552</v>
      </c>
      <c r="AL164" s="3"/>
      <c r="AM164" s="4"/>
      <c r="AN164" s="5"/>
      <c r="AO164" s="4"/>
      <c r="AP164" s="4"/>
      <c r="AQ164" s="4"/>
      <c r="AR164" s="4"/>
      <c r="AS164" s="4"/>
      <c r="AT164" s="4"/>
      <c r="AU164" s="4"/>
      <c r="AV164" s="4"/>
      <c r="AW164" s="4"/>
      <c r="AX164" s="4">
        <v>1300</v>
      </c>
      <c r="AY164" s="4">
        <f>1300*57758</f>
        <v>75085400</v>
      </c>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v>5</v>
      </c>
      <c r="BY164" s="4">
        <f>5*470000</f>
        <v>2350000</v>
      </c>
      <c r="BZ164" s="4"/>
      <c r="CA164" s="4"/>
      <c r="CB164" s="4"/>
      <c r="CC164" s="4"/>
      <c r="CD164" s="4"/>
      <c r="CE164" s="4"/>
      <c r="CF164" s="4"/>
      <c r="CG164" s="4"/>
      <c r="CH164" s="4"/>
      <c r="CI164" s="4"/>
      <c r="CJ164" s="4"/>
      <c r="CK164" s="4"/>
      <c r="CL164" s="4"/>
      <c r="CM164" s="4"/>
      <c r="CN164" s="6"/>
      <c r="CO164" s="7"/>
      <c r="CP164" s="6"/>
      <c r="CQ164" s="7"/>
      <c r="CR164" s="6"/>
      <c r="CS164" s="7"/>
      <c r="CT164" s="8">
        <f t="shared" si="42"/>
        <v>77435400</v>
      </c>
      <c r="CU164" s="9"/>
      <c r="CV164" s="10"/>
      <c r="CW164" s="11"/>
      <c r="CX164" s="12"/>
      <c r="CY164" s="26"/>
      <c r="CZ164" s="12"/>
      <c r="DA164" s="9"/>
      <c r="DB164" s="10"/>
      <c r="DC164" s="64"/>
    </row>
    <row r="165" spans="1:108" ht="48" outlineLevel="2">
      <c r="A165" s="178">
        <v>40381</v>
      </c>
      <c r="B165" s="82" t="s">
        <v>911</v>
      </c>
      <c r="C165" s="82" t="s">
        <v>1421</v>
      </c>
      <c r="D165" s="165" t="s">
        <v>1262</v>
      </c>
      <c r="E165" s="167"/>
      <c r="F165" s="66"/>
      <c r="G165" s="66"/>
      <c r="H165" s="66">
        <v>260</v>
      </c>
      <c r="I165" s="66">
        <v>52</v>
      </c>
      <c r="J165" s="66">
        <v>1</v>
      </c>
      <c r="K165" s="66">
        <v>51</v>
      </c>
      <c r="L165" s="66"/>
      <c r="M165" s="66"/>
      <c r="N165" s="66"/>
      <c r="O165" s="66"/>
      <c r="P165" s="66"/>
      <c r="Q165" s="66"/>
      <c r="R165" s="66"/>
      <c r="S165" s="66"/>
      <c r="T165" s="67"/>
      <c r="U165" s="151" t="s">
        <v>1676</v>
      </c>
      <c r="V165" s="1"/>
      <c r="W165" s="68">
        <f t="shared" si="37"/>
        <v>0</v>
      </c>
      <c r="X165" s="68">
        <f t="shared" si="38"/>
        <v>0</v>
      </c>
      <c r="Y165" s="68">
        <f t="shared" si="39"/>
        <v>0</v>
      </c>
      <c r="Z165" s="68">
        <f t="shared" si="40"/>
        <v>0</v>
      </c>
      <c r="AA165" s="68"/>
      <c r="AB165" s="68">
        <v>0</v>
      </c>
      <c r="AC165" s="69">
        <f t="shared" si="41"/>
        <v>0</v>
      </c>
      <c r="AD165" s="70">
        <v>0</v>
      </c>
      <c r="AE165" s="63">
        <v>40381</v>
      </c>
      <c r="AF165" s="72"/>
      <c r="AG165" s="63" t="s">
        <v>938</v>
      </c>
      <c r="AH165" s="23" t="s">
        <v>939</v>
      </c>
      <c r="AI165" s="60"/>
      <c r="AJ165" s="133" t="s">
        <v>1608</v>
      </c>
      <c r="AK165" s="73" t="s">
        <v>855</v>
      </c>
      <c r="AL165" s="3"/>
      <c r="AM165" s="4"/>
      <c r="AN165" s="5"/>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6"/>
      <c r="CO165" s="7"/>
      <c r="CP165" s="6"/>
      <c r="CQ165" s="7"/>
      <c r="CR165" s="6"/>
      <c r="CS165" s="7"/>
      <c r="CT165" s="8">
        <f t="shared" si="42"/>
        <v>0</v>
      </c>
      <c r="CU165" s="9"/>
      <c r="CV165" s="10"/>
      <c r="CW165" s="11"/>
      <c r="CX165" s="12"/>
      <c r="CY165" s="26"/>
      <c r="CZ165" s="12"/>
      <c r="DA165" s="9"/>
      <c r="DB165" s="10"/>
      <c r="DC165" s="64"/>
    </row>
    <row r="166" spans="1:108" ht="36" outlineLevel="2">
      <c r="A166" s="178">
        <v>40391</v>
      </c>
      <c r="B166" s="82" t="s">
        <v>911</v>
      </c>
      <c r="C166" s="82" t="s">
        <v>941</v>
      </c>
      <c r="D166" s="165" t="s">
        <v>1182</v>
      </c>
      <c r="E166" s="167"/>
      <c r="F166" s="66"/>
      <c r="G166" s="66"/>
      <c r="H166" s="66">
        <v>275</v>
      </c>
      <c r="I166" s="66">
        <v>55</v>
      </c>
      <c r="J166" s="66">
        <v>17</v>
      </c>
      <c r="K166" s="66">
        <v>38</v>
      </c>
      <c r="L166" s="66"/>
      <c r="M166" s="66"/>
      <c r="N166" s="66"/>
      <c r="O166" s="66"/>
      <c r="P166" s="66"/>
      <c r="Q166" s="66"/>
      <c r="R166" s="66"/>
      <c r="S166" s="66"/>
      <c r="T166" s="67"/>
      <c r="U166" s="151"/>
      <c r="V166" s="1"/>
      <c r="W166" s="68">
        <f t="shared" si="37"/>
        <v>0</v>
      </c>
      <c r="X166" s="68">
        <f t="shared" si="38"/>
        <v>0</v>
      </c>
      <c r="Y166" s="68">
        <f t="shared" si="39"/>
        <v>0</v>
      </c>
      <c r="Z166" s="68">
        <f t="shared" si="40"/>
        <v>0</v>
      </c>
      <c r="AA166" s="68"/>
      <c r="AB166" s="68">
        <v>0</v>
      </c>
      <c r="AC166" s="69">
        <f t="shared" si="41"/>
        <v>0</v>
      </c>
      <c r="AD166" s="70">
        <v>0</v>
      </c>
      <c r="AE166" s="63">
        <v>40393</v>
      </c>
      <c r="AF166" s="72"/>
      <c r="AG166" s="63" t="s">
        <v>938</v>
      </c>
      <c r="AH166" s="23" t="s">
        <v>939</v>
      </c>
      <c r="AI166" s="60"/>
      <c r="AJ166" s="133" t="s">
        <v>1608</v>
      </c>
      <c r="AK166" s="73" t="s">
        <v>1994</v>
      </c>
      <c r="AL166" s="3"/>
      <c r="AM166" s="4"/>
      <c r="AN166" s="5"/>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6"/>
      <c r="CO166" s="7"/>
      <c r="CP166" s="6"/>
      <c r="CQ166" s="7"/>
      <c r="CR166" s="6"/>
      <c r="CS166" s="7"/>
      <c r="CT166" s="8">
        <f t="shared" si="42"/>
        <v>0</v>
      </c>
      <c r="CU166" s="9"/>
      <c r="CV166" s="10"/>
      <c r="CW166" s="11"/>
      <c r="CX166" s="12"/>
      <c r="CY166" s="26"/>
      <c r="CZ166" s="12"/>
      <c r="DA166" s="9"/>
      <c r="DB166" s="10"/>
      <c r="DC166" s="64"/>
    </row>
    <row r="167" spans="1:108" ht="60" outlineLevel="2">
      <c r="A167" s="178">
        <v>40397</v>
      </c>
      <c r="B167" s="82" t="s">
        <v>911</v>
      </c>
      <c r="C167" s="82" t="s">
        <v>1505</v>
      </c>
      <c r="D167" s="165" t="s">
        <v>1262</v>
      </c>
      <c r="E167" s="167">
        <v>1</v>
      </c>
      <c r="F167" s="66"/>
      <c r="G167" s="66"/>
      <c r="H167" s="66">
        <f>6+6+12+5+2+7+19+10</f>
        <v>67</v>
      </c>
      <c r="I167" s="66">
        <v>17</v>
      </c>
      <c r="J167" s="66"/>
      <c r="K167" s="66">
        <v>17</v>
      </c>
      <c r="L167" s="66"/>
      <c r="M167" s="66"/>
      <c r="N167" s="66"/>
      <c r="O167" s="66"/>
      <c r="P167" s="66"/>
      <c r="Q167" s="66"/>
      <c r="R167" s="66"/>
      <c r="S167" s="66"/>
      <c r="T167" s="67"/>
      <c r="U167" s="151"/>
      <c r="V167" s="1"/>
      <c r="W167" s="68">
        <f t="shared" si="37"/>
        <v>0</v>
      </c>
      <c r="X167" s="68">
        <f t="shared" si="38"/>
        <v>0</v>
      </c>
      <c r="Y167" s="68">
        <f t="shared" si="39"/>
        <v>0</v>
      </c>
      <c r="Z167" s="68">
        <f t="shared" si="40"/>
        <v>0</v>
      </c>
      <c r="AA167" s="68"/>
      <c r="AB167" s="68">
        <v>0</v>
      </c>
      <c r="AC167" s="69">
        <f t="shared" si="41"/>
        <v>0</v>
      </c>
      <c r="AD167" s="70">
        <v>4165000</v>
      </c>
      <c r="AE167" s="63">
        <v>40399</v>
      </c>
      <c r="AF167" s="72">
        <v>42603</v>
      </c>
      <c r="AG167" s="63" t="s">
        <v>954</v>
      </c>
      <c r="AH167" s="23" t="s">
        <v>1572</v>
      </c>
      <c r="AI167" s="60"/>
      <c r="AJ167" s="133" t="s">
        <v>2259</v>
      </c>
      <c r="AK167" s="73" t="s">
        <v>2257</v>
      </c>
      <c r="AL167" s="3"/>
      <c r="AM167" s="4"/>
      <c r="AN167" s="5"/>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6"/>
      <c r="CO167" s="7"/>
      <c r="CP167" s="6"/>
      <c r="CQ167" s="7"/>
      <c r="CR167" s="6"/>
      <c r="CS167" s="7"/>
      <c r="CT167" s="8">
        <f t="shared" si="42"/>
        <v>0</v>
      </c>
      <c r="CU167" s="9"/>
      <c r="CV167" s="10"/>
      <c r="CW167" s="11"/>
      <c r="CX167" s="12"/>
      <c r="CY167" s="26"/>
      <c r="CZ167" s="12"/>
      <c r="DA167" s="9"/>
      <c r="DB167" s="10"/>
      <c r="DC167" s="64"/>
    </row>
    <row r="168" spans="1:108" ht="36" outlineLevel="2">
      <c r="A168" s="178">
        <v>40398</v>
      </c>
      <c r="B168" s="82" t="s">
        <v>911</v>
      </c>
      <c r="C168" s="82" t="s">
        <v>907</v>
      </c>
      <c r="D168" s="165" t="s">
        <v>1262</v>
      </c>
      <c r="E168" s="167"/>
      <c r="F168" s="66"/>
      <c r="G168" s="66"/>
      <c r="H168" s="66">
        <f>165*5</f>
        <v>825</v>
      </c>
      <c r="I168" s="66">
        <v>165</v>
      </c>
      <c r="J168" s="66"/>
      <c r="K168" s="66">
        <v>165</v>
      </c>
      <c r="L168" s="66"/>
      <c r="M168" s="66"/>
      <c r="N168" s="66"/>
      <c r="O168" s="66"/>
      <c r="P168" s="66"/>
      <c r="Q168" s="66"/>
      <c r="R168" s="66"/>
      <c r="S168" s="66"/>
      <c r="T168" s="67"/>
      <c r="U168" s="151"/>
      <c r="V168" s="1"/>
      <c r="W168" s="68">
        <f t="shared" si="37"/>
        <v>0</v>
      </c>
      <c r="X168" s="68">
        <f t="shared" si="38"/>
        <v>0</v>
      </c>
      <c r="Y168" s="68">
        <f t="shared" si="39"/>
        <v>0</v>
      </c>
      <c r="Z168" s="68">
        <f t="shared" si="40"/>
        <v>0</v>
      </c>
      <c r="AA168" s="68"/>
      <c r="AB168" s="68">
        <v>0</v>
      </c>
      <c r="AC168" s="69">
        <f t="shared" si="41"/>
        <v>0</v>
      </c>
      <c r="AD168" s="70">
        <v>14025000</v>
      </c>
      <c r="AE168" s="63">
        <v>40398</v>
      </c>
      <c r="AF168" s="72"/>
      <c r="AG168" s="63" t="s">
        <v>954</v>
      </c>
      <c r="AH168" s="23" t="s">
        <v>955</v>
      </c>
      <c r="AI168" s="60"/>
      <c r="AJ168" s="133" t="s">
        <v>1608</v>
      </c>
      <c r="AK168" s="73" t="s">
        <v>1511</v>
      </c>
      <c r="AL168" s="3"/>
      <c r="AM168" s="4"/>
      <c r="AN168" s="5"/>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6"/>
      <c r="CO168" s="7"/>
      <c r="CP168" s="6"/>
      <c r="CQ168" s="7"/>
      <c r="CR168" s="6"/>
      <c r="CS168" s="7"/>
      <c r="CT168" s="8">
        <f t="shared" si="42"/>
        <v>0</v>
      </c>
      <c r="CU168" s="9"/>
      <c r="CV168" s="10"/>
      <c r="CW168" s="11"/>
      <c r="CX168" s="12"/>
      <c r="CY168" s="26"/>
      <c r="CZ168" s="12"/>
      <c r="DA168" s="9"/>
      <c r="DB168" s="10"/>
      <c r="DC168" s="64"/>
    </row>
    <row r="169" spans="1:108" ht="60" outlineLevel="2">
      <c r="A169" s="178">
        <v>40398</v>
      </c>
      <c r="B169" s="82" t="s">
        <v>911</v>
      </c>
      <c r="C169" s="82" t="s">
        <v>909</v>
      </c>
      <c r="D169" s="165" t="s">
        <v>1262</v>
      </c>
      <c r="E169" s="167"/>
      <c r="F169" s="66"/>
      <c r="G169" s="66"/>
      <c r="H169" s="66">
        <v>750</v>
      </c>
      <c r="I169" s="66">
        <v>150</v>
      </c>
      <c r="J169" s="66"/>
      <c r="K169" s="66">
        <v>150</v>
      </c>
      <c r="L169" s="66"/>
      <c r="M169" s="66"/>
      <c r="N169" s="66"/>
      <c r="O169" s="66"/>
      <c r="P169" s="66"/>
      <c r="Q169" s="66"/>
      <c r="R169" s="66"/>
      <c r="S169" s="66"/>
      <c r="T169" s="67"/>
      <c r="U169" s="151"/>
      <c r="V169" s="1"/>
      <c r="W169" s="68">
        <f t="shared" si="37"/>
        <v>0</v>
      </c>
      <c r="X169" s="68">
        <f t="shared" si="38"/>
        <v>0</v>
      </c>
      <c r="Y169" s="68">
        <f t="shared" si="39"/>
        <v>0</v>
      </c>
      <c r="Z169" s="68">
        <f t="shared" si="40"/>
        <v>0</v>
      </c>
      <c r="AA169" s="68"/>
      <c r="AB169" s="68">
        <v>0</v>
      </c>
      <c r="AC169" s="69">
        <f t="shared" si="41"/>
        <v>0</v>
      </c>
      <c r="AD169" s="70">
        <v>0</v>
      </c>
      <c r="AE169" s="63">
        <v>40398</v>
      </c>
      <c r="AF169" s="72"/>
      <c r="AG169" s="63" t="s">
        <v>938</v>
      </c>
      <c r="AH169" s="23" t="s">
        <v>939</v>
      </c>
      <c r="AI169" s="60"/>
      <c r="AJ169" s="133" t="s">
        <v>1608</v>
      </c>
      <c r="AK169" s="73" t="s">
        <v>1512</v>
      </c>
      <c r="AL169" s="3"/>
      <c r="AM169" s="4"/>
      <c r="AN169" s="5"/>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6"/>
      <c r="CO169" s="7"/>
      <c r="CP169" s="6"/>
      <c r="CQ169" s="7"/>
      <c r="CR169" s="6"/>
      <c r="CS169" s="7"/>
      <c r="CT169" s="8">
        <f t="shared" si="42"/>
        <v>0</v>
      </c>
      <c r="CU169" s="9"/>
      <c r="CV169" s="10"/>
      <c r="CW169" s="11"/>
      <c r="CX169" s="12"/>
      <c r="CY169" s="26"/>
      <c r="CZ169" s="12"/>
      <c r="DA169" s="9"/>
      <c r="DB169" s="10"/>
      <c r="DC169" s="64"/>
    </row>
    <row r="170" spans="1:108" outlineLevel="2">
      <c r="A170" s="178">
        <v>40398</v>
      </c>
      <c r="B170" s="82" t="s">
        <v>911</v>
      </c>
      <c r="C170" s="82" t="s">
        <v>2223</v>
      </c>
      <c r="D170" s="165" t="s">
        <v>1262</v>
      </c>
      <c r="E170" s="167"/>
      <c r="F170" s="66"/>
      <c r="G170" s="66"/>
      <c r="H170" s="66">
        <v>110</v>
      </c>
      <c r="I170" s="66">
        <v>22</v>
      </c>
      <c r="J170" s="66">
        <v>5</v>
      </c>
      <c r="K170" s="66">
        <f>22-5</f>
        <v>17</v>
      </c>
      <c r="L170" s="66"/>
      <c r="M170" s="66"/>
      <c r="N170" s="66"/>
      <c r="O170" s="66"/>
      <c r="P170" s="66"/>
      <c r="Q170" s="66"/>
      <c r="R170" s="66"/>
      <c r="S170" s="66"/>
      <c r="T170" s="67"/>
      <c r="U170" s="151"/>
      <c r="V170" s="1"/>
      <c r="W170" s="68">
        <f t="shared" si="37"/>
        <v>0</v>
      </c>
      <c r="X170" s="68">
        <f t="shared" si="38"/>
        <v>0</v>
      </c>
      <c r="Y170" s="68">
        <f t="shared" si="39"/>
        <v>0</v>
      </c>
      <c r="Z170" s="68">
        <f t="shared" si="40"/>
        <v>0</v>
      </c>
      <c r="AA170" s="68"/>
      <c r="AB170" s="68">
        <v>0</v>
      </c>
      <c r="AC170" s="69">
        <f t="shared" si="41"/>
        <v>0</v>
      </c>
      <c r="AD170" s="70" t="s">
        <v>1934</v>
      </c>
      <c r="AE170" s="63">
        <v>40399</v>
      </c>
      <c r="AF170" s="72"/>
      <c r="AG170" s="63" t="s">
        <v>954</v>
      </c>
      <c r="AH170" s="23" t="s">
        <v>955</v>
      </c>
      <c r="AI170" s="60"/>
      <c r="AJ170" s="133" t="s">
        <v>1608</v>
      </c>
      <c r="AK170" s="73" t="s">
        <v>437</v>
      </c>
      <c r="AL170" s="3"/>
      <c r="AM170" s="4"/>
      <c r="AN170" s="5"/>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6"/>
      <c r="CO170" s="7"/>
      <c r="CP170" s="6"/>
      <c r="CQ170" s="7"/>
      <c r="CR170" s="6"/>
      <c r="CS170" s="7"/>
      <c r="CT170" s="8">
        <f t="shared" si="42"/>
        <v>0</v>
      </c>
      <c r="CU170" s="9"/>
      <c r="CV170" s="10"/>
      <c r="CW170" s="11"/>
      <c r="CX170" s="12"/>
      <c r="CY170" s="26"/>
      <c r="CZ170" s="12"/>
      <c r="DA170" s="9"/>
      <c r="DB170" s="10"/>
      <c r="DC170" s="64"/>
    </row>
    <row r="171" spans="1:108" ht="24" outlineLevel="2">
      <c r="A171" s="178">
        <v>40402</v>
      </c>
      <c r="B171" s="82" t="s">
        <v>911</v>
      </c>
      <c r="C171" s="82" t="s">
        <v>941</v>
      </c>
      <c r="D171" s="165" t="s">
        <v>1262</v>
      </c>
      <c r="E171" s="167">
        <v>1</v>
      </c>
      <c r="F171" s="66"/>
      <c r="G171" s="66"/>
      <c r="H171" s="66"/>
      <c r="I171" s="66"/>
      <c r="J171" s="66"/>
      <c r="K171" s="66"/>
      <c r="L171" s="66"/>
      <c r="M171" s="66"/>
      <c r="N171" s="66"/>
      <c r="O171" s="66"/>
      <c r="P171" s="66"/>
      <c r="Q171" s="66"/>
      <c r="R171" s="66"/>
      <c r="S171" s="66"/>
      <c r="T171" s="67"/>
      <c r="U171" s="151"/>
      <c r="V171" s="1"/>
      <c r="W171" s="68">
        <f t="shared" si="37"/>
        <v>0</v>
      </c>
      <c r="X171" s="68">
        <f t="shared" si="38"/>
        <v>0</v>
      </c>
      <c r="Y171" s="68">
        <f t="shared" si="39"/>
        <v>0</v>
      </c>
      <c r="Z171" s="68">
        <f t="shared" si="40"/>
        <v>0</v>
      </c>
      <c r="AA171" s="68"/>
      <c r="AB171" s="68">
        <v>0</v>
      </c>
      <c r="AC171" s="69">
        <f t="shared" si="41"/>
        <v>0</v>
      </c>
      <c r="AD171" s="70">
        <v>0</v>
      </c>
      <c r="AE171" s="63">
        <v>40403</v>
      </c>
      <c r="AF171" s="72"/>
      <c r="AG171" s="63" t="s">
        <v>938</v>
      </c>
      <c r="AH171" s="23" t="s">
        <v>939</v>
      </c>
      <c r="AI171" s="60"/>
      <c r="AJ171" s="133" t="s">
        <v>1608</v>
      </c>
      <c r="AK171" s="73" t="s">
        <v>2061</v>
      </c>
      <c r="AL171" s="3"/>
      <c r="AM171" s="4"/>
      <c r="AN171" s="5"/>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6"/>
      <c r="CO171" s="7"/>
      <c r="CP171" s="6"/>
      <c r="CQ171" s="7"/>
      <c r="CR171" s="6"/>
      <c r="CS171" s="7"/>
      <c r="CT171" s="8">
        <f t="shared" si="42"/>
        <v>0</v>
      </c>
      <c r="CU171" s="9"/>
      <c r="CV171" s="10"/>
      <c r="CW171" s="11"/>
      <c r="CX171" s="12"/>
      <c r="CY171" s="26"/>
      <c r="CZ171" s="12"/>
      <c r="DA171" s="9"/>
      <c r="DB171" s="10"/>
      <c r="DC171" s="64"/>
      <c r="DD171" s="22">
        <v>1217</v>
      </c>
    </row>
    <row r="172" spans="1:108" ht="36" outlineLevel="2">
      <c r="A172" s="178">
        <v>40408</v>
      </c>
      <c r="B172" s="82" t="s">
        <v>911</v>
      </c>
      <c r="C172" s="82" t="s">
        <v>909</v>
      </c>
      <c r="D172" s="165" t="s">
        <v>1262</v>
      </c>
      <c r="E172" s="167"/>
      <c r="F172" s="66"/>
      <c r="G172" s="66"/>
      <c r="H172" s="66">
        <v>750</v>
      </c>
      <c r="I172" s="66">
        <v>150</v>
      </c>
      <c r="J172" s="66"/>
      <c r="K172" s="66">
        <v>150</v>
      </c>
      <c r="L172" s="66"/>
      <c r="M172" s="66"/>
      <c r="N172" s="66"/>
      <c r="O172" s="66"/>
      <c r="P172" s="66"/>
      <c r="Q172" s="66"/>
      <c r="R172" s="66"/>
      <c r="S172" s="66"/>
      <c r="T172" s="67"/>
      <c r="U172" s="151"/>
      <c r="V172" s="1"/>
      <c r="W172" s="68">
        <f t="shared" ref="W172:W203" si="43">CT172</f>
        <v>0</v>
      </c>
      <c r="X172" s="68">
        <f t="shared" ref="X172:X203" si="44">CX172</f>
        <v>0</v>
      </c>
      <c r="Y172" s="68">
        <f t="shared" ref="Y172:Y203" si="45">CZ172+DB172</f>
        <v>0</v>
      </c>
      <c r="Z172" s="68">
        <f t="shared" ref="Z172:Z203" si="46">CV172</f>
        <v>0</v>
      </c>
      <c r="AA172" s="68"/>
      <c r="AB172" s="68">
        <v>0</v>
      </c>
      <c r="AC172" s="69">
        <f t="shared" ref="AC172:AC203" si="47">W172+X172+Y172+Z172+AA172+AB172</f>
        <v>0</v>
      </c>
      <c r="AD172" s="70">
        <v>0</v>
      </c>
      <c r="AE172" s="63">
        <v>40413</v>
      </c>
      <c r="AF172" s="72"/>
      <c r="AG172" s="63" t="s">
        <v>938</v>
      </c>
      <c r="AH172" s="23" t="s">
        <v>939</v>
      </c>
      <c r="AI172" s="60"/>
      <c r="AJ172" s="133" t="s">
        <v>1608</v>
      </c>
      <c r="AK172" s="73" t="s">
        <v>1554</v>
      </c>
      <c r="AL172" s="3"/>
      <c r="AM172" s="4"/>
      <c r="AN172" s="5"/>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6"/>
      <c r="CO172" s="7"/>
      <c r="CP172" s="6"/>
      <c r="CQ172" s="7"/>
      <c r="CR172" s="6"/>
      <c r="CS172" s="7"/>
      <c r="CT172" s="8">
        <f t="shared" ref="CT172:CT203" si="48">AM172+AO172+AQ172+AS172+AU172+AW172+AY172+BA172+BC172+BE172+BG172+BI172+BK172+BM172+BO172+BQ172+BS172+BU172+BW172+BY172+CA172+CC172+CE172+CG172+CI172+CK172+CM172+CO172+CQ172+CS172</f>
        <v>0</v>
      </c>
      <c r="CU172" s="9"/>
      <c r="CV172" s="10"/>
      <c r="CW172" s="11"/>
      <c r="CX172" s="12"/>
      <c r="CY172" s="26"/>
      <c r="CZ172" s="12"/>
      <c r="DA172" s="9"/>
      <c r="DB172" s="10"/>
      <c r="DC172" s="64"/>
    </row>
    <row r="173" spans="1:108" ht="24" outlineLevel="2">
      <c r="A173" s="178">
        <v>40408</v>
      </c>
      <c r="B173" s="82" t="s">
        <v>911</v>
      </c>
      <c r="C173" s="82" t="s">
        <v>2233</v>
      </c>
      <c r="D173" s="165" t="s">
        <v>435</v>
      </c>
      <c r="E173" s="167"/>
      <c r="F173" s="66"/>
      <c r="G173" s="66"/>
      <c r="H173" s="66">
        <v>250</v>
      </c>
      <c r="I173" s="66">
        <v>50</v>
      </c>
      <c r="J173" s="66"/>
      <c r="K173" s="66">
        <v>50</v>
      </c>
      <c r="L173" s="66"/>
      <c r="M173" s="66"/>
      <c r="N173" s="66"/>
      <c r="O173" s="66"/>
      <c r="P173" s="66"/>
      <c r="Q173" s="66"/>
      <c r="R173" s="66"/>
      <c r="S173" s="66"/>
      <c r="T173" s="67"/>
      <c r="U173" s="151"/>
      <c r="V173" s="1"/>
      <c r="W173" s="68">
        <f t="shared" si="43"/>
        <v>0</v>
      </c>
      <c r="X173" s="68">
        <f t="shared" si="44"/>
        <v>0</v>
      </c>
      <c r="Y173" s="68">
        <f t="shared" si="45"/>
        <v>0</v>
      </c>
      <c r="Z173" s="68">
        <f t="shared" si="46"/>
        <v>0</v>
      </c>
      <c r="AA173" s="68"/>
      <c r="AB173" s="68">
        <v>0</v>
      </c>
      <c r="AC173" s="69">
        <f t="shared" si="47"/>
        <v>0</v>
      </c>
      <c r="AD173" s="70">
        <v>0</v>
      </c>
      <c r="AE173" s="63">
        <v>40408</v>
      </c>
      <c r="AF173" s="72"/>
      <c r="AG173" s="63" t="s">
        <v>938</v>
      </c>
      <c r="AH173" s="23" t="s">
        <v>939</v>
      </c>
      <c r="AI173" s="60"/>
      <c r="AJ173" s="133" t="s">
        <v>1608</v>
      </c>
      <c r="AK173" s="73" t="s">
        <v>1553</v>
      </c>
      <c r="AL173" s="3"/>
      <c r="AM173" s="4"/>
      <c r="AN173" s="5"/>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6"/>
      <c r="CO173" s="7"/>
      <c r="CP173" s="6"/>
      <c r="CQ173" s="7"/>
      <c r="CR173" s="6"/>
      <c r="CS173" s="7"/>
      <c r="CT173" s="8">
        <f t="shared" si="48"/>
        <v>0</v>
      </c>
      <c r="CU173" s="9"/>
      <c r="CV173" s="10"/>
      <c r="CW173" s="11"/>
      <c r="CX173" s="12"/>
      <c r="CY173" s="26"/>
      <c r="CZ173" s="12"/>
      <c r="DA173" s="9"/>
      <c r="DB173" s="10"/>
      <c r="DC173" s="64"/>
    </row>
    <row r="174" spans="1:108" ht="36" outlineLevel="2">
      <c r="A174" s="178">
        <v>40408</v>
      </c>
      <c r="B174" s="82" t="s">
        <v>911</v>
      </c>
      <c r="C174" s="82" t="s">
        <v>2099</v>
      </c>
      <c r="D174" s="165" t="s">
        <v>1262</v>
      </c>
      <c r="E174" s="167"/>
      <c r="F174" s="66"/>
      <c r="G174" s="66"/>
      <c r="H174" s="66">
        <v>415</v>
      </c>
      <c r="I174" s="66">
        <v>83</v>
      </c>
      <c r="J174" s="66"/>
      <c r="K174" s="66">
        <v>83</v>
      </c>
      <c r="L174" s="66"/>
      <c r="M174" s="66"/>
      <c r="N174" s="66"/>
      <c r="O174" s="66"/>
      <c r="P174" s="66"/>
      <c r="Q174" s="66"/>
      <c r="R174" s="66"/>
      <c r="S174" s="66"/>
      <c r="T174" s="67"/>
      <c r="U174" s="151"/>
      <c r="V174" s="1"/>
      <c r="W174" s="68">
        <f t="shared" si="43"/>
        <v>0</v>
      </c>
      <c r="X174" s="68">
        <f t="shared" si="44"/>
        <v>0</v>
      </c>
      <c r="Y174" s="68">
        <f t="shared" si="45"/>
        <v>0</v>
      </c>
      <c r="Z174" s="68">
        <f t="shared" si="46"/>
        <v>0</v>
      </c>
      <c r="AA174" s="68"/>
      <c r="AB174" s="68">
        <v>0</v>
      </c>
      <c r="AC174" s="69">
        <f t="shared" si="47"/>
        <v>0</v>
      </c>
      <c r="AD174" s="70">
        <v>0</v>
      </c>
      <c r="AE174" s="63">
        <v>40413</v>
      </c>
      <c r="AF174" s="72"/>
      <c r="AG174" s="63" t="s">
        <v>938</v>
      </c>
      <c r="AH174" s="23" t="s">
        <v>939</v>
      </c>
      <c r="AI174" s="60"/>
      <c r="AJ174" s="133" t="s">
        <v>1608</v>
      </c>
      <c r="AK174" s="73" t="s">
        <v>2100</v>
      </c>
      <c r="AL174" s="3"/>
      <c r="AM174" s="4"/>
      <c r="AN174" s="5"/>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6"/>
      <c r="CO174" s="7"/>
      <c r="CP174" s="6"/>
      <c r="CQ174" s="7"/>
      <c r="CR174" s="6"/>
      <c r="CS174" s="7"/>
      <c r="CT174" s="8">
        <f t="shared" si="48"/>
        <v>0</v>
      </c>
      <c r="CU174" s="9"/>
      <c r="CV174" s="10"/>
      <c r="CW174" s="11"/>
      <c r="CX174" s="12"/>
      <c r="CY174" s="26"/>
      <c r="CZ174" s="12"/>
      <c r="DA174" s="9"/>
      <c r="DB174" s="10"/>
      <c r="DC174" s="64"/>
    </row>
    <row r="175" spans="1:108" ht="24" outlineLevel="2">
      <c r="A175" s="178">
        <v>40410</v>
      </c>
      <c r="B175" s="82" t="s">
        <v>911</v>
      </c>
      <c r="C175" s="82" t="s">
        <v>2223</v>
      </c>
      <c r="D175" s="165" t="s">
        <v>1182</v>
      </c>
      <c r="E175" s="167"/>
      <c r="F175" s="66"/>
      <c r="G175" s="66"/>
      <c r="H175" s="66">
        <v>75</v>
      </c>
      <c r="I175" s="66">
        <v>15</v>
      </c>
      <c r="J175" s="66"/>
      <c r="K175" s="66">
        <v>15</v>
      </c>
      <c r="L175" s="66"/>
      <c r="M175" s="66"/>
      <c r="N175" s="66"/>
      <c r="O175" s="66"/>
      <c r="P175" s="66"/>
      <c r="Q175" s="66"/>
      <c r="R175" s="66"/>
      <c r="S175" s="66"/>
      <c r="T175" s="67"/>
      <c r="U175" s="151"/>
      <c r="V175" s="1"/>
      <c r="W175" s="68">
        <f t="shared" si="43"/>
        <v>0</v>
      </c>
      <c r="X175" s="68">
        <f t="shared" si="44"/>
        <v>0</v>
      </c>
      <c r="Y175" s="68">
        <f t="shared" si="45"/>
        <v>0</v>
      </c>
      <c r="Z175" s="68">
        <f t="shared" si="46"/>
        <v>0</v>
      </c>
      <c r="AA175" s="68"/>
      <c r="AB175" s="68">
        <v>0</v>
      </c>
      <c r="AC175" s="69">
        <f t="shared" si="47"/>
        <v>0</v>
      </c>
      <c r="AD175" s="70">
        <v>4930000</v>
      </c>
      <c r="AE175" s="63">
        <v>40413</v>
      </c>
      <c r="AF175" s="72"/>
      <c r="AG175" s="63" t="s">
        <v>954</v>
      </c>
      <c r="AH175" s="23" t="s">
        <v>955</v>
      </c>
      <c r="AI175" s="60"/>
      <c r="AJ175" s="133" t="s">
        <v>1608</v>
      </c>
      <c r="AK175" s="73" t="s">
        <v>2098</v>
      </c>
      <c r="AL175" s="3"/>
      <c r="AM175" s="4"/>
      <c r="AN175" s="5"/>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6"/>
      <c r="CO175" s="7"/>
      <c r="CP175" s="6"/>
      <c r="CQ175" s="7"/>
      <c r="CR175" s="6"/>
      <c r="CS175" s="7"/>
      <c r="CT175" s="8">
        <f t="shared" si="48"/>
        <v>0</v>
      </c>
      <c r="CU175" s="9"/>
      <c r="CV175" s="10"/>
      <c r="CW175" s="11"/>
      <c r="CX175" s="12"/>
      <c r="CY175" s="26"/>
      <c r="CZ175" s="12"/>
      <c r="DA175" s="9"/>
      <c r="DB175" s="10"/>
      <c r="DC175" s="64"/>
    </row>
    <row r="176" spans="1:108" ht="24" outlineLevel="2">
      <c r="A176" s="178">
        <v>40427</v>
      </c>
      <c r="B176" s="174" t="s">
        <v>911</v>
      </c>
      <c r="C176" s="174" t="s">
        <v>2233</v>
      </c>
      <c r="D176" s="179" t="s">
        <v>435</v>
      </c>
      <c r="E176" s="163"/>
      <c r="F176" s="105"/>
      <c r="G176" s="105"/>
      <c r="H176" s="105">
        <v>1012</v>
      </c>
      <c r="I176" s="105">
        <v>225</v>
      </c>
      <c r="J176" s="105"/>
      <c r="K176" s="105">
        <v>225</v>
      </c>
      <c r="L176" s="105"/>
      <c r="M176" s="105"/>
      <c r="N176" s="105"/>
      <c r="O176" s="105"/>
      <c r="P176" s="105"/>
      <c r="Q176" s="105"/>
      <c r="R176" s="105"/>
      <c r="S176" s="105"/>
      <c r="T176" s="106"/>
      <c r="U176" s="130"/>
      <c r="V176" s="1"/>
      <c r="W176" s="68">
        <f t="shared" si="43"/>
        <v>0</v>
      </c>
      <c r="X176" s="68">
        <f t="shared" si="44"/>
        <v>0</v>
      </c>
      <c r="Y176" s="68">
        <f t="shared" si="45"/>
        <v>0</v>
      </c>
      <c r="Z176" s="68">
        <f t="shared" si="46"/>
        <v>0</v>
      </c>
      <c r="AA176" s="68"/>
      <c r="AB176" s="68">
        <v>0</v>
      </c>
      <c r="AC176" s="69">
        <f t="shared" si="47"/>
        <v>0</v>
      </c>
      <c r="AD176" s="70">
        <v>0</v>
      </c>
      <c r="AE176" s="63">
        <v>40429</v>
      </c>
      <c r="AF176" s="72"/>
      <c r="AG176" s="63" t="s">
        <v>938</v>
      </c>
      <c r="AH176" s="23" t="s">
        <v>939</v>
      </c>
      <c r="AI176" s="60"/>
      <c r="AJ176" s="124" t="s">
        <v>1608</v>
      </c>
      <c r="AK176" s="121" t="s">
        <v>1305</v>
      </c>
      <c r="AL176" s="107"/>
      <c r="AM176" s="108"/>
      <c r="AN176" s="109"/>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08"/>
      <c r="CM176" s="108"/>
      <c r="CN176" s="110"/>
      <c r="CO176" s="111"/>
      <c r="CP176" s="110"/>
      <c r="CQ176" s="111"/>
      <c r="CR176" s="110"/>
      <c r="CS176" s="111"/>
      <c r="CT176" s="112">
        <f t="shared" si="48"/>
        <v>0</v>
      </c>
      <c r="CU176" s="113"/>
      <c r="CV176" s="114"/>
      <c r="CW176" s="115"/>
      <c r="CX176" s="116"/>
      <c r="CY176" s="117"/>
      <c r="CZ176" s="116"/>
      <c r="DA176" s="113"/>
      <c r="DB176" s="114"/>
      <c r="DC176" s="64"/>
      <c r="DD176" s="118"/>
    </row>
    <row r="177" spans="1:108" ht="24" outlineLevel="2">
      <c r="A177" s="178">
        <v>40428</v>
      </c>
      <c r="B177" s="174" t="s">
        <v>911</v>
      </c>
      <c r="C177" s="174" t="s">
        <v>941</v>
      </c>
      <c r="D177" s="179" t="s">
        <v>435</v>
      </c>
      <c r="E177" s="163"/>
      <c r="F177" s="105"/>
      <c r="G177" s="105"/>
      <c r="H177" s="105">
        <v>185</v>
      </c>
      <c r="I177" s="105">
        <v>37</v>
      </c>
      <c r="J177" s="105"/>
      <c r="K177" s="105">
        <v>37</v>
      </c>
      <c r="L177" s="105"/>
      <c r="M177" s="105"/>
      <c r="N177" s="105"/>
      <c r="O177" s="105"/>
      <c r="P177" s="105"/>
      <c r="Q177" s="105"/>
      <c r="R177" s="105">
        <v>2</v>
      </c>
      <c r="S177" s="105"/>
      <c r="T177" s="106"/>
      <c r="U177" s="130"/>
      <c r="V177" s="1"/>
      <c r="W177" s="68">
        <f t="shared" si="43"/>
        <v>0</v>
      </c>
      <c r="X177" s="68">
        <f t="shared" si="44"/>
        <v>0</v>
      </c>
      <c r="Y177" s="68">
        <f t="shared" si="45"/>
        <v>0</v>
      </c>
      <c r="Z177" s="68">
        <f t="shared" si="46"/>
        <v>0</v>
      </c>
      <c r="AA177" s="68"/>
      <c r="AB177" s="68">
        <v>0</v>
      </c>
      <c r="AC177" s="69">
        <f t="shared" si="47"/>
        <v>0</v>
      </c>
      <c r="AD177" s="70">
        <v>0</v>
      </c>
      <c r="AE177" s="63">
        <v>40429</v>
      </c>
      <c r="AF177" s="72"/>
      <c r="AG177" s="63" t="s">
        <v>938</v>
      </c>
      <c r="AH177" s="23" t="s">
        <v>939</v>
      </c>
      <c r="AI177" s="60"/>
      <c r="AJ177" s="124" t="s">
        <v>1608</v>
      </c>
      <c r="AK177" s="121" t="s">
        <v>1753</v>
      </c>
      <c r="AL177" s="107"/>
      <c r="AM177" s="108"/>
      <c r="AN177" s="109"/>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08"/>
      <c r="CM177" s="108"/>
      <c r="CN177" s="110"/>
      <c r="CO177" s="111"/>
      <c r="CP177" s="110"/>
      <c r="CQ177" s="111"/>
      <c r="CR177" s="110"/>
      <c r="CS177" s="111"/>
      <c r="CT177" s="112">
        <f t="shared" si="48"/>
        <v>0</v>
      </c>
      <c r="CU177" s="113"/>
      <c r="CV177" s="114"/>
      <c r="CW177" s="115"/>
      <c r="CX177" s="116"/>
      <c r="CY177" s="117"/>
      <c r="CZ177" s="116"/>
      <c r="DA177" s="113"/>
      <c r="DB177" s="114"/>
      <c r="DC177" s="64"/>
      <c r="DD177" s="118"/>
    </row>
    <row r="178" spans="1:108" ht="36" outlineLevel="2">
      <c r="A178" s="178">
        <v>40428</v>
      </c>
      <c r="B178" s="174" t="s">
        <v>911</v>
      </c>
      <c r="C178" s="174" t="s">
        <v>1751</v>
      </c>
      <c r="D178" s="179" t="s">
        <v>1262</v>
      </c>
      <c r="E178" s="163"/>
      <c r="F178" s="105"/>
      <c r="G178" s="105"/>
      <c r="H178" s="105">
        <v>100</v>
      </c>
      <c r="I178" s="105">
        <v>20</v>
      </c>
      <c r="J178" s="105"/>
      <c r="K178" s="105">
        <v>20</v>
      </c>
      <c r="L178" s="105"/>
      <c r="M178" s="105"/>
      <c r="N178" s="105"/>
      <c r="O178" s="105"/>
      <c r="P178" s="105"/>
      <c r="Q178" s="105"/>
      <c r="R178" s="105"/>
      <c r="S178" s="105"/>
      <c r="T178" s="106">
        <v>0</v>
      </c>
      <c r="U178" s="130"/>
      <c r="V178" s="1"/>
      <c r="W178" s="68">
        <f t="shared" si="43"/>
        <v>0</v>
      </c>
      <c r="X178" s="68">
        <f t="shared" si="44"/>
        <v>0</v>
      </c>
      <c r="Y178" s="68">
        <f t="shared" si="45"/>
        <v>0</v>
      </c>
      <c r="Z178" s="68">
        <f t="shared" si="46"/>
        <v>0</v>
      </c>
      <c r="AA178" s="68"/>
      <c r="AB178" s="68">
        <v>0</v>
      </c>
      <c r="AC178" s="69">
        <f t="shared" si="47"/>
        <v>0</v>
      </c>
      <c r="AD178" s="70">
        <v>0</v>
      </c>
      <c r="AE178" s="63">
        <v>40429</v>
      </c>
      <c r="AF178" s="72"/>
      <c r="AG178" s="63" t="s">
        <v>938</v>
      </c>
      <c r="AH178" s="23" t="s">
        <v>939</v>
      </c>
      <c r="AI178" s="60"/>
      <c r="AJ178" s="124" t="s">
        <v>1608</v>
      </c>
      <c r="AK178" s="121" t="s">
        <v>1309</v>
      </c>
      <c r="AL178" s="107"/>
      <c r="AM178" s="108"/>
      <c r="AN178" s="109"/>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c r="CN178" s="110"/>
      <c r="CO178" s="111"/>
      <c r="CP178" s="110"/>
      <c r="CQ178" s="111"/>
      <c r="CR178" s="110"/>
      <c r="CS178" s="111"/>
      <c r="CT178" s="112">
        <f t="shared" si="48"/>
        <v>0</v>
      </c>
      <c r="CU178" s="113"/>
      <c r="CV178" s="114"/>
      <c r="CW178" s="115"/>
      <c r="CX178" s="116"/>
      <c r="CY178" s="117"/>
      <c r="CZ178" s="116"/>
      <c r="DA178" s="113"/>
      <c r="DB178" s="114"/>
      <c r="DC178" s="64"/>
      <c r="DD178" s="118"/>
    </row>
    <row r="179" spans="1:108" ht="36" outlineLevel="2">
      <c r="A179" s="178">
        <v>40429</v>
      </c>
      <c r="B179" s="174" t="s">
        <v>911</v>
      </c>
      <c r="C179" s="174" t="s">
        <v>941</v>
      </c>
      <c r="D179" s="179" t="s">
        <v>1262</v>
      </c>
      <c r="E179" s="163"/>
      <c r="F179" s="105"/>
      <c r="G179" s="105"/>
      <c r="H179" s="105">
        <v>450</v>
      </c>
      <c r="I179" s="105">
        <v>150</v>
      </c>
      <c r="J179" s="105"/>
      <c r="K179" s="105">
        <v>150</v>
      </c>
      <c r="L179" s="105"/>
      <c r="M179" s="105"/>
      <c r="N179" s="105"/>
      <c r="O179" s="105"/>
      <c r="P179" s="105"/>
      <c r="Q179" s="105"/>
      <c r="R179" s="105"/>
      <c r="S179" s="105"/>
      <c r="T179" s="106"/>
      <c r="U179" s="130"/>
      <c r="V179" s="1"/>
      <c r="W179" s="68">
        <f t="shared" si="43"/>
        <v>0</v>
      </c>
      <c r="X179" s="68">
        <f t="shared" si="44"/>
        <v>0</v>
      </c>
      <c r="Y179" s="68">
        <f t="shared" si="45"/>
        <v>0</v>
      </c>
      <c r="Z179" s="68">
        <f t="shared" si="46"/>
        <v>0</v>
      </c>
      <c r="AA179" s="68"/>
      <c r="AB179" s="68">
        <v>0</v>
      </c>
      <c r="AC179" s="69">
        <f t="shared" si="47"/>
        <v>0</v>
      </c>
      <c r="AD179" s="70">
        <v>0</v>
      </c>
      <c r="AE179" s="63">
        <v>40429</v>
      </c>
      <c r="AF179" s="72"/>
      <c r="AG179" s="63" t="s">
        <v>938</v>
      </c>
      <c r="AH179" s="23" t="s">
        <v>939</v>
      </c>
      <c r="AI179" s="60"/>
      <c r="AJ179" s="124" t="s">
        <v>1608</v>
      </c>
      <c r="AK179" s="121" t="s">
        <v>1750</v>
      </c>
      <c r="AL179" s="107"/>
      <c r="AM179" s="108"/>
      <c r="AN179" s="109"/>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10"/>
      <c r="CO179" s="111"/>
      <c r="CP179" s="110"/>
      <c r="CQ179" s="111"/>
      <c r="CR179" s="110"/>
      <c r="CS179" s="111"/>
      <c r="CT179" s="112">
        <f t="shared" si="48"/>
        <v>0</v>
      </c>
      <c r="CU179" s="113"/>
      <c r="CV179" s="114"/>
      <c r="CW179" s="115"/>
      <c r="CX179" s="116"/>
      <c r="CY179" s="117"/>
      <c r="CZ179" s="116"/>
      <c r="DA179" s="113"/>
      <c r="DB179" s="114"/>
      <c r="DC179" s="64"/>
      <c r="DD179" s="118"/>
    </row>
    <row r="180" spans="1:108" ht="84" outlineLevel="2">
      <c r="A180" s="178">
        <v>40435</v>
      </c>
      <c r="B180" s="164" t="s">
        <v>911</v>
      </c>
      <c r="C180" s="164" t="s">
        <v>741</v>
      </c>
      <c r="D180" s="166" t="s">
        <v>1262</v>
      </c>
      <c r="E180" s="163"/>
      <c r="F180" s="105"/>
      <c r="G180" s="105"/>
      <c r="H180" s="105"/>
      <c r="I180" s="105"/>
      <c r="J180" s="105"/>
      <c r="K180" s="105"/>
      <c r="L180" s="105"/>
      <c r="M180" s="105"/>
      <c r="N180" s="105"/>
      <c r="O180" s="105"/>
      <c r="P180" s="105"/>
      <c r="Q180" s="105"/>
      <c r="R180" s="105"/>
      <c r="S180" s="105"/>
      <c r="T180" s="106"/>
      <c r="U180" s="130"/>
      <c r="V180" s="1">
        <v>40451</v>
      </c>
      <c r="W180" s="68">
        <f t="shared" si="43"/>
        <v>0</v>
      </c>
      <c r="X180" s="68">
        <f t="shared" si="44"/>
        <v>0</v>
      </c>
      <c r="Y180" s="68">
        <f t="shared" si="45"/>
        <v>0</v>
      </c>
      <c r="Z180" s="68">
        <f t="shared" si="46"/>
        <v>0</v>
      </c>
      <c r="AA180" s="68"/>
      <c r="AB180" s="68">
        <v>40180744</v>
      </c>
      <c r="AC180" s="69">
        <f t="shared" si="47"/>
        <v>40180744</v>
      </c>
      <c r="AD180" s="70">
        <v>0</v>
      </c>
      <c r="AE180" s="63">
        <v>40442</v>
      </c>
      <c r="AF180" s="72">
        <v>50127</v>
      </c>
      <c r="AG180" s="63" t="s">
        <v>954</v>
      </c>
      <c r="AH180" s="23" t="s">
        <v>955</v>
      </c>
      <c r="AI180" s="60">
        <v>35261</v>
      </c>
      <c r="AJ180" s="134" t="s">
        <v>1476</v>
      </c>
      <c r="AK180" s="121" t="s">
        <v>742</v>
      </c>
      <c r="AL180" s="107"/>
      <c r="AM180" s="108"/>
      <c r="AN180" s="109"/>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10"/>
      <c r="CO180" s="111"/>
      <c r="CP180" s="110"/>
      <c r="CQ180" s="111"/>
      <c r="CR180" s="110"/>
      <c r="CS180" s="111"/>
      <c r="CT180" s="112">
        <f t="shared" si="48"/>
        <v>0</v>
      </c>
      <c r="CU180" s="113"/>
      <c r="CV180" s="114"/>
      <c r="CW180" s="115"/>
      <c r="CX180" s="116"/>
      <c r="CY180" s="117"/>
      <c r="CZ180" s="116"/>
      <c r="DA180" s="113"/>
      <c r="DB180" s="114"/>
      <c r="DC180" s="64">
        <v>2</v>
      </c>
      <c r="DD180" s="118"/>
    </row>
    <row r="181" spans="1:108" outlineLevel="2">
      <c r="A181" s="178">
        <v>40436</v>
      </c>
      <c r="B181" s="174" t="s">
        <v>911</v>
      </c>
      <c r="C181" s="174" t="s">
        <v>941</v>
      </c>
      <c r="D181" s="179" t="s">
        <v>435</v>
      </c>
      <c r="E181" s="163"/>
      <c r="F181" s="105"/>
      <c r="G181" s="105"/>
      <c r="H181" s="105">
        <v>85</v>
      </c>
      <c r="I181" s="105">
        <v>17</v>
      </c>
      <c r="J181" s="105"/>
      <c r="K181" s="105">
        <v>17</v>
      </c>
      <c r="L181" s="105"/>
      <c r="M181" s="105"/>
      <c r="N181" s="105"/>
      <c r="O181" s="105"/>
      <c r="P181" s="105"/>
      <c r="Q181" s="105"/>
      <c r="R181" s="105"/>
      <c r="S181" s="105"/>
      <c r="T181" s="106"/>
      <c r="U181" s="130"/>
      <c r="V181" s="1"/>
      <c r="W181" s="68">
        <f t="shared" si="43"/>
        <v>0</v>
      </c>
      <c r="X181" s="68">
        <f t="shared" si="44"/>
        <v>0</v>
      </c>
      <c r="Y181" s="68">
        <f t="shared" si="45"/>
        <v>0</v>
      </c>
      <c r="Z181" s="68">
        <f t="shared" si="46"/>
        <v>0</v>
      </c>
      <c r="AA181" s="68"/>
      <c r="AB181" s="68">
        <v>0</v>
      </c>
      <c r="AC181" s="69">
        <f t="shared" si="47"/>
        <v>0</v>
      </c>
      <c r="AD181" s="70">
        <v>0</v>
      </c>
      <c r="AE181" s="63">
        <v>40441</v>
      </c>
      <c r="AF181" s="72"/>
      <c r="AG181" s="63" t="s">
        <v>938</v>
      </c>
      <c r="AH181" s="23" t="s">
        <v>939</v>
      </c>
      <c r="AI181" s="60"/>
      <c r="AJ181" s="124" t="s">
        <v>1608</v>
      </c>
      <c r="AK181" s="121" t="s">
        <v>1128</v>
      </c>
      <c r="AL181" s="107"/>
      <c r="AM181" s="108"/>
      <c r="AN181" s="109"/>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10"/>
      <c r="CO181" s="111"/>
      <c r="CP181" s="110"/>
      <c r="CQ181" s="111"/>
      <c r="CR181" s="110"/>
      <c r="CS181" s="111"/>
      <c r="CT181" s="112">
        <f t="shared" si="48"/>
        <v>0</v>
      </c>
      <c r="CU181" s="113"/>
      <c r="CV181" s="114"/>
      <c r="CW181" s="115"/>
      <c r="CX181" s="116"/>
      <c r="CY181" s="117"/>
      <c r="CZ181" s="116"/>
      <c r="DA181" s="113"/>
      <c r="DB181" s="114"/>
      <c r="DC181" s="64"/>
      <c r="DD181" s="118"/>
    </row>
    <row r="182" spans="1:108" ht="24" outlineLevel="2">
      <c r="A182" s="178">
        <v>40437</v>
      </c>
      <c r="B182" s="164" t="s">
        <v>911</v>
      </c>
      <c r="C182" s="164" t="s">
        <v>941</v>
      </c>
      <c r="D182" s="165" t="s">
        <v>1182</v>
      </c>
      <c r="E182" s="163"/>
      <c r="F182" s="105"/>
      <c r="G182" s="105"/>
      <c r="H182" s="105">
        <v>50</v>
      </c>
      <c r="I182" s="105">
        <v>10</v>
      </c>
      <c r="J182" s="105">
        <v>6</v>
      </c>
      <c r="K182" s="105">
        <v>4</v>
      </c>
      <c r="L182" s="105"/>
      <c r="M182" s="105"/>
      <c r="N182" s="105"/>
      <c r="O182" s="105"/>
      <c r="P182" s="105"/>
      <c r="Q182" s="105"/>
      <c r="R182" s="105"/>
      <c r="S182" s="105"/>
      <c r="T182" s="106"/>
      <c r="U182" s="130"/>
      <c r="V182" s="1"/>
      <c r="W182" s="68">
        <f t="shared" si="43"/>
        <v>0</v>
      </c>
      <c r="X182" s="68">
        <f t="shared" si="44"/>
        <v>0</v>
      </c>
      <c r="Y182" s="68">
        <f t="shared" si="45"/>
        <v>0</v>
      </c>
      <c r="Z182" s="68">
        <f t="shared" si="46"/>
        <v>0</v>
      </c>
      <c r="AA182" s="68"/>
      <c r="AB182" s="68">
        <v>0</v>
      </c>
      <c r="AC182" s="69">
        <f t="shared" si="47"/>
        <v>0</v>
      </c>
      <c r="AD182" s="70">
        <v>0</v>
      </c>
      <c r="AE182" s="63">
        <v>40441</v>
      </c>
      <c r="AF182" s="72"/>
      <c r="AG182" s="63" t="s">
        <v>938</v>
      </c>
      <c r="AH182" s="23" t="s">
        <v>939</v>
      </c>
      <c r="AI182" s="60"/>
      <c r="AJ182" s="124" t="s">
        <v>1608</v>
      </c>
      <c r="AK182" s="121" t="s">
        <v>1302</v>
      </c>
      <c r="AL182" s="107"/>
      <c r="AM182" s="108"/>
      <c r="AN182" s="109"/>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10"/>
      <c r="CO182" s="111"/>
      <c r="CP182" s="110"/>
      <c r="CQ182" s="111"/>
      <c r="CR182" s="110"/>
      <c r="CS182" s="111"/>
      <c r="CT182" s="112">
        <f t="shared" si="48"/>
        <v>0</v>
      </c>
      <c r="CU182" s="113"/>
      <c r="CV182" s="114"/>
      <c r="CW182" s="115"/>
      <c r="CX182" s="116"/>
      <c r="CY182" s="117"/>
      <c r="CZ182" s="116"/>
      <c r="DA182" s="113"/>
      <c r="DB182" s="114"/>
      <c r="DC182" s="64"/>
      <c r="DD182" s="118"/>
    </row>
    <row r="183" spans="1:108" ht="24" outlineLevel="2">
      <c r="A183" s="178">
        <v>40442</v>
      </c>
      <c r="B183" s="164" t="s">
        <v>911</v>
      </c>
      <c r="C183" s="164" t="s">
        <v>941</v>
      </c>
      <c r="D183" s="165" t="s">
        <v>1182</v>
      </c>
      <c r="E183" s="163"/>
      <c r="F183" s="105"/>
      <c r="G183" s="105"/>
      <c r="H183" s="105">
        <v>40</v>
      </c>
      <c r="I183" s="105">
        <v>8</v>
      </c>
      <c r="J183" s="105">
        <v>8</v>
      </c>
      <c r="K183" s="105"/>
      <c r="L183" s="105"/>
      <c r="M183" s="105"/>
      <c r="N183" s="105"/>
      <c r="O183" s="105"/>
      <c r="P183" s="105"/>
      <c r="Q183" s="105"/>
      <c r="R183" s="105"/>
      <c r="S183" s="105"/>
      <c r="T183" s="106"/>
      <c r="U183" s="130"/>
      <c r="V183" s="1"/>
      <c r="W183" s="68">
        <f t="shared" si="43"/>
        <v>0</v>
      </c>
      <c r="X183" s="68">
        <f t="shared" si="44"/>
        <v>0</v>
      </c>
      <c r="Y183" s="68">
        <f t="shared" si="45"/>
        <v>0</v>
      </c>
      <c r="Z183" s="68">
        <f t="shared" si="46"/>
        <v>0</v>
      </c>
      <c r="AA183" s="68"/>
      <c r="AB183" s="68">
        <v>0</v>
      </c>
      <c r="AC183" s="69">
        <f t="shared" si="47"/>
        <v>0</v>
      </c>
      <c r="AD183" s="70">
        <v>0</v>
      </c>
      <c r="AE183" s="63">
        <v>40444</v>
      </c>
      <c r="AF183" s="72"/>
      <c r="AG183" s="63" t="s">
        <v>938</v>
      </c>
      <c r="AH183" s="23" t="s">
        <v>939</v>
      </c>
      <c r="AI183" s="60"/>
      <c r="AJ183" s="124" t="s">
        <v>1608</v>
      </c>
      <c r="AK183" s="121" t="s">
        <v>561</v>
      </c>
      <c r="AL183" s="107"/>
      <c r="AM183" s="108"/>
      <c r="AN183" s="109"/>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10"/>
      <c r="CO183" s="111"/>
      <c r="CP183" s="110"/>
      <c r="CQ183" s="111"/>
      <c r="CR183" s="110"/>
      <c r="CS183" s="111"/>
      <c r="CT183" s="112">
        <f t="shared" si="48"/>
        <v>0</v>
      </c>
      <c r="CU183" s="113"/>
      <c r="CV183" s="114"/>
      <c r="CW183" s="115"/>
      <c r="CX183" s="116"/>
      <c r="CY183" s="117"/>
      <c r="CZ183" s="116"/>
      <c r="DA183" s="113"/>
      <c r="DB183" s="114"/>
      <c r="DC183" s="64"/>
      <c r="DD183" s="118"/>
    </row>
    <row r="184" spans="1:108" ht="36" outlineLevel="2">
      <c r="A184" s="178">
        <v>40443</v>
      </c>
      <c r="B184" s="164" t="s">
        <v>911</v>
      </c>
      <c r="C184" s="164" t="s">
        <v>941</v>
      </c>
      <c r="D184" s="166" t="s">
        <v>1328</v>
      </c>
      <c r="E184" s="163"/>
      <c r="F184" s="105"/>
      <c r="G184" s="105"/>
      <c r="H184" s="105">
        <v>580</v>
      </c>
      <c r="I184" s="105">
        <v>116</v>
      </c>
      <c r="J184" s="105">
        <v>2</v>
      </c>
      <c r="K184" s="105">
        <v>114</v>
      </c>
      <c r="L184" s="105"/>
      <c r="M184" s="105"/>
      <c r="N184" s="105"/>
      <c r="O184" s="105"/>
      <c r="P184" s="105"/>
      <c r="Q184" s="105"/>
      <c r="R184" s="105"/>
      <c r="S184" s="105"/>
      <c r="T184" s="106"/>
      <c r="U184" s="130"/>
      <c r="V184" s="1"/>
      <c r="W184" s="68">
        <f t="shared" si="43"/>
        <v>0</v>
      </c>
      <c r="X184" s="68">
        <f t="shared" si="44"/>
        <v>0</v>
      </c>
      <c r="Y184" s="68">
        <f t="shared" si="45"/>
        <v>0</v>
      </c>
      <c r="Z184" s="68">
        <f t="shared" si="46"/>
        <v>0</v>
      </c>
      <c r="AA184" s="68"/>
      <c r="AB184" s="68">
        <v>0</v>
      </c>
      <c r="AC184" s="69">
        <f t="shared" si="47"/>
        <v>0</v>
      </c>
      <c r="AD184" s="70">
        <v>0</v>
      </c>
      <c r="AE184" s="63">
        <v>40444</v>
      </c>
      <c r="AF184" s="72"/>
      <c r="AG184" s="63" t="s">
        <v>938</v>
      </c>
      <c r="AH184" s="23" t="s">
        <v>939</v>
      </c>
      <c r="AI184" s="60"/>
      <c r="AJ184" s="124" t="s">
        <v>1608</v>
      </c>
      <c r="AK184" s="121" t="s">
        <v>1346</v>
      </c>
      <c r="AL184" s="107"/>
      <c r="AM184" s="108"/>
      <c r="AN184" s="109"/>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10"/>
      <c r="CO184" s="111"/>
      <c r="CP184" s="110"/>
      <c r="CQ184" s="111"/>
      <c r="CR184" s="110"/>
      <c r="CS184" s="111"/>
      <c r="CT184" s="112">
        <f t="shared" si="48"/>
        <v>0</v>
      </c>
      <c r="CU184" s="113"/>
      <c r="CV184" s="114"/>
      <c r="CW184" s="115"/>
      <c r="CX184" s="116"/>
      <c r="CY184" s="117"/>
      <c r="CZ184" s="116"/>
      <c r="DA184" s="113"/>
      <c r="DB184" s="114"/>
      <c r="DC184" s="64"/>
      <c r="DD184" s="118"/>
    </row>
    <row r="185" spans="1:108" ht="48" outlineLevel="2">
      <c r="A185" s="178">
        <v>40447</v>
      </c>
      <c r="B185" s="164" t="s">
        <v>911</v>
      </c>
      <c r="C185" s="164" t="s">
        <v>941</v>
      </c>
      <c r="D185" s="165" t="s">
        <v>1182</v>
      </c>
      <c r="E185" s="163"/>
      <c r="F185" s="105"/>
      <c r="G185" s="105"/>
      <c r="H185" s="105">
        <f>116*5</f>
        <v>580</v>
      </c>
      <c r="I185" s="105">
        <f>84+32</f>
        <v>116</v>
      </c>
      <c r="J185" s="105">
        <f>72+12</f>
        <v>84</v>
      </c>
      <c r="K185" s="105">
        <v>32</v>
      </c>
      <c r="L185" s="131"/>
      <c r="M185" s="105"/>
      <c r="N185" s="105"/>
      <c r="O185" s="105"/>
      <c r="P185" s="105"/>
      <c r="Q185" s="105"/>
      <c r="R185" s="105"/>
      <c r="S185" s="105"/>
      <c r="T185" s="106"/>
      <c r="U185" s="130"/>
      <c r="V185" s="1"/>
      <c r="W185" s="68">
        <f t="shared" si="43"/>
        <v>0</v>
      </c>
      <c r="X185" s="68">
        <f t="shared" si="44"/>
        <v>0</v>
      </c>
      <c r="Y185" s="68">
        <f t="shared" si="45"/>
        <v>0</v>
      </c>
      <c r="Z185" s="68">
        <f t="shared" si="46"/>
        <v>0</v>
      </c>
      <c r="AA185" s="68"/>
      <c r="AB185" s="68">
        <v>0</v>
      </c>
      <c r="AC185" s="69">
        <f t="shared" si="47"/>
        <v>0</v>
      </c>
      <c r="AD185" s="70">
        <v>0</v>
      </c>
      <c r="AE185" s="63">
        <v>40448</v>
      </c>
      <c r="AF185" s="72"/>
      <c r="AG185" s="63" t="s">
        <v>938</v>
      </c>
      <c r="AH185" s="23" t="s">
        <v>939</v>
      </c>
      <c r="AI185" s="60"/>
      <c r="AJ185" s="124" t="s">
        <v>1608</v>
      </c>
      <c r="AK185" s="121" t="s">
        <v>562</v>
      </c>
      <c r="AL185" s="107"/>
      <c r="AM185" s="108"/>
      <c r="AN185" s="109"/>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10"/>
      <c r="CO185" s="111"/>
      <c r="CP185" s="110"/>
      <c r="CQ185" s="111"/>
      <c r="CR185" s="110"/>
      <c r="CS185" s="111"/>
      <c r="CT185" s="112">
        <f t="shared" si="48"/>
        <v>0</v>
      </c>
      <c r="CU185" s="113"/>
      <c r="CV185" s="114"/>
      <c r="CW185" s="115"/>
      <c r="CX185" s="116"/>
      <c r="CY185" s="117"/>
      <c r="CZ185" s="116"/>
      <c r="DA185" s="113"/>
      <c r="DB185" s="114"/>
      <c r="DC185" s="64"/>
      <c r="DD185" s="118"/>
    </row>
    <row r="186" spans="1:108" ht="36" outlineLevel="2">
      <c r="A186" s="178">
        <v>40452</v>
      </c>
      <c r="B186" s="164" t="s">
        <v>911</v>
      </c>
      <c r="C186" s="164" t="s">
        <v>941</v>
      </c>
      <c r="D186" s="165" t="s">
        <v>1182</v>
      </c>
      <c r="E186" s="163"/>
      <c r="F186" s="105"/>
      <c r="G186" s="105"/>
      <c r="H186" s="105">
        <v>50</v>
      </c>
      <c r="I186" s="105">
        <v>10</v>
      </c>
      <c r="J186" s="105">
        <v>10</v>
      </c>
      <c r="K186" s="105"/>
      <c r="L186" s="105"/>
      <c r="M186" s="105"/>
      <c r="N186" s="105"/>
      <c r="O186" s="105"/>
      <c r="P186" s="105"/>
      <c r="Q186" s="105"/>
      <c r="R186" s="105"/>
      <c r="S186" s="105"/>
      <c r="T186" s="106"/>
      <c r="U186" s="130"/>
      <c r="V186" s="1"/>
      <c r="W186" s="68">
        <f t="shared" si="43"/>
        <v>0</v>
      </c>
      <c r="X186" s="68">
        <f t="shared" si="44"/>
        <v>0</v>
      </c>
      <c r="Y186" s="68">
        <f t="shared" si="45"/>
        <v>0</v>
      </c>
      <c r="Z186" s="68">
        <f t="shared" si="46"/>
        <v>0</v>
      </c>
      <c r="AA186" s="68"/>
      <c r="AB186" s="68">
        <v>0</v>
      </c>
      <c r="AC186" s="69">
        <f t="shared" si="47"/>
        <v>0</v>
      </c>
      <c r="AD186" s="70">
        <v>0</v>
      </c>
      <c r="AE186" s="63">
        <v>40455</v>
      </c>
      <c r="AF186" s="72"/>
      <c r="AG186" s="63" t="s">
        <v>938</v>
      </c>
      <c r="AH186" s="23" t="s">
        <v>939</v>
      </c>
      <c r="AI186" s="60"/>
      <c r="AJ186" s="124" t="s">
        <v>1608</v>
      </c>
      <c r="AK186" s="121" t="s">
        <v>775</v>
      </c>
      <c r="AL186" s="107"/>
      <c r="AM186" s="108"/>
      <c r="AN186" s="109"/>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10"/>
      <c r="CO186" s="111"/>
      <c r="CP186" s="110"/>
      <c r="CQ186" s="111"/>
      <c r="CR186" s="110"/>
      <c r="CS186" s="111"/>
      <c r="CT186" s="112">
        <f t="shared" si="48"/>
        <v>0</v>
      </c>
      <c r="CU186" s="113"/>
      <c r="CV186" s="114"/>
      <c r="CW186" s="115"/>
      <c r="CX186" s="116"/>
      <c r="CY186" s="117"/>
      <c r="CZ186" s="116"/>
      <c r="DA186" s="113"/>
      <c r="DB186" s="114"/>
      <c r="DC186" s="64"/>
      <c r="DD186" s="118"/>
    </row>
    <row r="187" spans="1:108" ht="22.5" outlineLevel="2">
      <c r="A187" s="178">
        <v>40452</v>
      </c>
      <c r="B187" s="164" t="s">
        <v>911</v>
      </c>
      <c r="C187" s="164" t="s">
        <v>953</v>
      </c>
      <c r="D187" s="166" t="s">
        <v>1262</v>
      </c>
      <c r="E187" s="163"/>
      <c r="F187" s="105"/>
      <c r="G187" s="105"/>
      <c r="H187" s="105"/>
      <c r="I187" s="105"/>
      <c r="J187" s="105"/>
      <c r="K187" s="105"/>
      <c r="L187" s="105"/>
      <c r="M187" s="105"/>
      <c r="N187" s="105"/>
      <c r="O187" s="105"/>
      <c r="P187" s="105"/>
      <c r="Q187" s="105"/>
      <c r="R187" s="105"/>
      <c r="S187" s="105"/>
      <c r="T187" s="106"/>
      <c r="U187" s="130"/>
      <c r="V187" s="1">
        <v>40509</v>
      </c>
      <c r="W187" s="68">
        <f t="shared" si="43"/>
        <v>0</v>
      </c>
      <c r="X187" s="68">
        <f t="shared" si="44"/>
        <v>0</v>
      </c>
      <c r="Y187" s="68">
        <f t="shared" si="45"/>
        <v>0</v>
      </c>
      <c r="Z187" s="68">
        <f t="shared" si="46"/>
        <v>90016000</v>
      </c>
      <c r="AA187" s="68"/>
      <c r="AB187" s="68">
        <v>0</v>
      </c>
      <c r="AC187" s="69">
        <f t="shared" si="47"/>
        <v>90016000</v>
      </c>
      <c r="AD187" s="70">
        <v>0</v>
      </c>
      <c r="AE187" s="63">
        <v>40454</v>
      </c>
      <c r="AF187" s="72">
        <v>59556</v>
      </c>
      <c r="AG187" s="63" t="s">
        <v>954</v>
      </c>
      <c r="AH187" s="23" t="s">
        <v>955</v>
      </c>
      <c r="AI187" s="60">
        <v>24573</v>
      </c>
      <c r="AJ187" s="124" t="s">
        <v>1122</v>
      </c>
      <c r="AK187" s="121" t="s">
        <v>245</v>
      </c>
      <c r="AL187" s="107"/>
      <c r="AM187" s="108"/>
      <c r="AN187" s="109"/>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c r="CN187" s="110"/>
      <c r="CO187" s="111"/>
      <c r="CP187" s="110"/>
      <c r="CQ187" s="111"/>
      <c r="CR187" s="110"/>
      <c r="CS187" s="111"/>
      <c r="CT187" s="112">
        <f t="shared" si="48"/>
        <v>0</v>
      </c>
      <c r="CU187" s="113">
        <v>100000</v>
      </c>
      <c r="CV187" s="114">
        <f>100000*900.16</f>
        <v>90016000</v>
      </c>
      <c r="CW187" s="115"/>
      <c r="CX187" s="116"/>
      <c r="CY187" s="117"/>
      <c r="CZ187" s="116"/>
      <c r="DA187" s="113"/>
      <c r="DB187" s="114"/>
      <c r="DC187" s="64"/>
      <c r="DD187" s="118">
        <v>1327</v>
      </c>
    </row>
    <row r="188" spans="1:108" ht="45" outlineLevel="2">
      <c r="A188" s="178">
        <v>40456</v>
      </c>
      <c r="B188" s="164" t="s">
        <v>911</v>
      </c>
      <c r="C188" s="164" t="s">
        <v>1421</v>
      </c>
      <c r="D188" s="166" t="s">
        <v>1262</v>
      </c>
      <c r="E188" s="163"/>
      <c r="F188" s="105"/>
      <c r="G188" s="105"/>
      <c r="H188" s="105">
        <v>540</v>
      </c>
      <c r="I188" s="105">
        <v>135</v>
      </c>
      <c r="J188" s="105"/>
      <c r="K188" s="105">
        <v>135</v>
      </c>
      <c r="L188" s="105"/>
      <c r="M188" s="105"/>
      <c r="N188" s="105"/>
      <c r="O188" s="105"/>
      <c r="P188" s="105"/>
      <c r="Q188" s="105"/>
      <c r="R188" s="105">
        <v>1</v>
      </c>
      <c r="S188" s="105"/>
      <c r="T188" s="106"/>
      <c r="U188" s="130"/>
      <c r="V188" s="1">
        <v>40508</v>
      </c>
      <c r="W188" s="68">
        <f t="shared" si="43"/>
        <v>11532600</v>
      </c>
      <c r="X188" s="68">
        <f t="shared" si="44"/>
        <v>4250000</v>
      </c>
      <c r="Y188" s="68">
        <f t="shared" si="45"/>
        <v>0</v>
      </c>
      <c r="Z188" s="68">
        <f t="shared" si="46"/>
        <v>0</v>
      </c>
      <c r="AA188" s="68"/>
      <c r="AB188" s="68">
        <v>0</v>
      </c>
      <c r="AC188" s="69">
        <f t="shared" si="47"/>
        <v>15782600</v>
      </c>
      <c r="AD188" s="70">
        <v>0</v>
      </c>
      <c r="AE188" s="63">
        <v>40456</v>
      </c>
      <c r="AF188" s="72">
        <v>54824</v>
      </c>
      <c r="AG188" s="63" t="s">
        <v>954</v>
      </c>
      <c r="AH188" s="23" t="s">
        <v>955</v>
      </c>
      <c r="AI188" s="60">
        <v>24654</v>
      </c>
      <c r="AJ188" s="133" t="s">
        <v>415</v>
      </c>
      <c r="AK188" s="121" t="s">
        <v>2318</v>
      </c>
      <c r="AL188" s="107"/>
      <c r="AM188" s="108"/>
      <c r="AN188" s="109"/>
      <c r="AO188" s="108"/>
      <c r="AP188" s="108"/>
      <c r="AQ188" s="108"/>
      <c r="AR188" s="108"/>
      <c r="AS188" s="108"/>
      <c r="AT188" s="108"/>
      <c r="AU188" s="108"/>
      <c r="AV188" s="108"/>
      <c r="AW188" s="108"/>
      <c r="AX188" s="108">
        <v>100</v>
      </c>
      <c r="AY188" s="108">
        <f>100*56000</f>
        <v>5600000</v>
      </c>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v>100</v>
      </c>
      <c r="CI188" s="108">
        <f>100*21000</f>
        <v>2100000</v>
      </c>
      <c r="CJ188" s="108"/>
      <c r="CK188" s="108"/>
      <c r="CL188" s="108"/>
      <c r="CM188" s="108"/>
      <c r="CN188" s="110">
        <v>50</v>
      </c>
      <c r="CO188" s="111">
        <f>50*36952</f>
        <v>1847600</v>
      </c>
      <c r="CP188" s="110">
        <v>50</v>
      </c>
      <c r="CQ188" s="111">
        <f>50*39700</f>
        <v>1985000</v>
      </c>
      <c r="CR188" s="110"/>
      <c r="CS188" s="111"/>
      <c r="CT188" s="112">
        <f t="shared" si="48"/>
        <v>11532600</v>
      </c>
      <c r="CU188" s="113"/>
      <c r="CV188" s="114"/>
      <c r="CW188" s="115">
        <v>50</v>
      </c>
      <c r="CX188" s="116">
        <f>50*85000</f>
        <v>4250000</v>
      </c>
      <c r="CY188" s="117"/>
      <c r="CZ188" s="116"/>
      <c r="DA188" s="113"/>
      <c r="DB188" s="114"/>
      <c r="DC188" s="64"/>
      <c r="DD188" s="118"/>
    </row>
    <row r="189" spans="1:108" ht="48" outlineLevel="2">
      <c r="A189" s="178">
        <v>40459</v>
      </c>
      <c r="B189" s="164" t="s">
        <v>911</v>
      </c>
      <c r="C189" s="164" t="s">
        <v>2099</v>
      </c>
      <c r="D189" s="166" t="s">
        <v>1262</v>
      </c>
      <c r="E189" s="163"/>
      <c r="F189" s="105"/>
      <c r="G189" s="105"/>
      <c r="H189" s="105">
        <f>800*5</f>
        <v>4000</v>
      </c>
      <c r="I189" s="105">
        <v>800</v>
      </c>
      <c r="J189" s="105"/>
      <c r="K189" s="105"/>
      <c r="L189" s="105"/>
      <c r="M189" s="105"/>
      <c r="N189" s="105"/>
      <c r="O189" s="105"/>
      <c r="P189" s="105"/>
      <c r="Q189" s="105"/>
      <c r="R189" s="105"/>
      <c r="S189" s="105"/>
      <c r="T189" s="106"/>
      <c r="U189" s="130"/>
      <c r="V189" s="1">
        <v>40526</v>
      </c>
      <c r="W189" s="68">
        <f t="shared" si="43"/>
        <v>49961600</v>
      </c>
      <c r="X189" s="68">
        <f t="shared" si="44"/>
        <v>68000000</v>
      </c>
      <c r="Y189" s="68">
        <f t="shared" si="45"/>
        <v>0</v>
      </c>
      <c r="Z189" s="68">
        <f t="shared" si="46"/>
        <v>0</v>
      </c>
      <c r="AA189" s="68"/>
      <c r="AB189" s="68">
        <v>0</v>
      </c>
      <c r="AC189" s="69">
        <f t="shared" si="47"/>
        <v>117961600</v>
      </c>
      <c r="AD189" s="70">
        <v>39950000</v>
      </c>
      <c r="AE189" s="63">
        <v>40494</v>
      </c>
      <c r="AF189" s="72">
        <v>57681</v>
      </c>
      <c r="AG189" s="63" t="s">
        <v>954</v>
      </c>
      <c r="AH189" s="23" t="s">
        <v>955</v>
      </c>
      <c r="AI189" s="60">
        <v>25667</v>
      </c>
      <c r="AJ189" s="133" t="s">
        <v>415</v>
      </c>
      <c r="AK189" s="121" t="s">
        <v>6</v>
      </c>
      <c r="AL189" s="107"/>
      <c r="AM189" s="108"/>
      <c r="AN189" s="109"/>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v>800</v>
      </c>
      <c r="BK189" s="108">
        <f>800*25500</f>
        <v>20400000</v>
      </c>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c r="CN189" s="110">
        <v>800</v>
      </c>
      <c r="CO189" s="111">
        <f>800*36952</f>
        <v>29561600</v>
      </c>
      <c r="CP189" s="110"/>
      <c r="CQ189" s="111"/>
      <c r="CR189" s="110"/>
      <c r="CS189" s="111"/>
      <c r="CT189" s="112">
        <f t="shared" si="48"/>
        <v>49961600</v>
      </c>
      <c r="CU189" s="113"/>
      <c r="CV189" s="114"/>
      <c r="CW189" s="115">
        <v>800</v>
      </c>
      <c r="CX189" s="116">
        <f>800*85000</f>
        <v>68000000</v>
      </c>
      <c r="CY189" s="117"/>
      <c r="CZ189" s="116"/>
      <c r="DA189" s="113"/>
      <c r="DB189" s="114"/>
      <c r="DC189" s="64"/>
      <c r="DD189" s="118">
        <v>1400</v>
      </c>
    </row>
    <row r="190" spans="1:108" ht="24" outlineLevel="2">
      <c r="A190" s="178">
        <v>40467</v>
      </c>
      <c r="B190" s="164" t="s">
        <v>911</v>
      </c>
      <c r="C190" s="164" t="s">
        <v>909</v>
      </c>
      <c r="D190" s="166" t="s">
        <v>1262</v>
      </c>
      <c r="E190" s="163"/>
      <c r="F190" s="105"/>
      <c r="G190" s="105"/>
      <c r="H190" s="105">
        <v>232</v>
      </c>
      <c r="I190" s="105">
        <v>58</v>
      </c>
      <c r="J190" s="105"/>
      <c r="K190" s="105">
        <v>58</v>
      </c>
      <c r="L190" s="105"/>
      <c r="M190" s="105"/>
      <c r="N190" s="105"/>
      <c r="O190" s="105"/>
      <c r="P190" s="105"/>
      <c r="Q190" s="105"/>
      <c r="R190" s="105"/>
      <c r="S190" s="105"/>
      <c r="T190" s="106"/>
      <c r="U190" s="130"/>
      <c r="V190" s="1"/>
      <c r="W190" s="68">
        <f t="shared" si="43"/>
        <v>0</v>
      </c>
      <c r="X190" s="68">
        <f t="shared" si="44"/>
        <v>0</v>
      </c>
      <c r="Y190" s="68">
        <f t="shared" si="45"/>
        <v>0</v>
      </c>
      <c r="Z190" s="68">
        <f t="shared" si="46"/>
        <v>0</v>
      </c>
      <c r="AA190" s="68"/>
      <c r="AB190" s="68">
        <v>0</v>
      </c>
      <c r="AC190" s="69">
        <f t="shared" si="47"/>
        <v>0</v>
      </c>
      <c r="AD190" s="70">
        <v>34000000</v>
      </c>
      <c r="AE190" s="63">
        <v>40471</v>
      </c>
      <c r="AF190" s="72"/>
      <c r="AG190" s="63" t="s">
        <v>954</v>
      </c>
      <c r="AH190" s="23" t="s">
        <v>955</v>
      </c>
      <c r="AI190" s="60"/>
      <c r="AJ190" s="124" t="s">
        <v>1608</v>
      </c>
      <c r="AK190" s="121" t="s">
        <v>2319</v>
      </c>
      <c r="AL190" s="107"/>
      <c r="AM190" s="108"/>
      <c r="AN190" s="109"/>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08"/>
      <c r="CM190" s="108"/>
      <c r="CN190" s="110"/>
      <c r="CO190" s="111"/>
      <c r="CP190" s="110"/>
      <c r="CQ190" s="111"/>
      <c r="CR190" s="110"/>
      <c r="CS190" s="111"/>
      <c r="CT190" s="112">
        <f t="shared" si="48"/>
        <v>0</v>
      </c>
      <c r="CU190" s="113"/>
      <c r="CV190" s="114"/>
      <c r="CW190" s="115"/>
      <c r="CX190" s="116"/>
      <c r="CY190" s="117"/>
      <c r="CZ190" s="116"/>
      <c r="DA190" s="113"/>
      <c r="DB190" s="114"/>
      <c r="DC190" s="64"/>
      <c r="DD190" s="118"/>
    </row>
    <row r="191" spans="1:108" ht="24" outlineLevel="2">
      <c r="A191" s="178">
        <v>40467</v>
      </c>
      <c r="B191" s="164" t="s">
        <v>911</v>
      </c>
      <c r="C191" s="164" t="s">
        <v>1751</v>
      </c>
      <c r="D191" s="166" t="s">
        <v>1262</v>
      </c>
      <c r="E191" s="163"/>
      <c r="F191" s="105"/>
      <c r="G191" s="105"/>
      <c r="H191" s="105">
        <f>495*5</f>
        <v>2475</v>
      </c>
      <c r="I191" s="105">
        <v>495</v>
      </c>
      <c r="J191" s="105"/>
      <c r="K191" s="105">
        <v>495</v>
      </c>
      <c r="L191" s="105"/>
      <c r="M191" s="105"/>
      <c r="N191" s="105"/>
      <c r="O191" s="105"/>
      <c r="P191" s="105"/>
      <c r="Q191" s="105"/>
      <c r="R191" s="105"/>
      <c r="S191" s="105"/>
      <c r="T191" s="106"/>
      <c r="U191" s="130"/>
      <c r="V191" s="1"/>
      <c r="W191" s="68">
        <f t="shared" si="43"/>
        <v>0</v>
      </c>
      <c r="X191" s="68">
        <f t="shared" si="44"/>
        <v>0</v>
      </c>
      <c r="Y191" s="68">
        <f t="shared" si="45"/>
        <v>0</v>
      </c>
      <c r="Z191" s="68">
        <f t="shared" si="46"/>
        <v>0</v>
      </c>
      <c r="AA191" s="68"/>
      <c r="AB191" s="68">
        <v>0</v>
      </c>
      <c r="AC191" s="69">
        <f t="shared" si="47"/>
        <v>0</v>
      </c>
      <c r="AD191" s="70">
        <v>42075000</v>
      </c>
      <c r="AE191" s="63">
        <v>40471</v>
      </c>
      <c r="AF191" s="72"/>
      <c r="AG191" s="63" t="s">
        <v>954</v>
      </c>
      <c r="AH191" s="23" t="s">
        <v>955</v>
      </c>
      <c r="AI191" s="60"/>
      <c r="AJ191" s="124" t="s">
        <v>1608</v>
      </c>
      <c r="AK191" s="121" t="s">
        <v>2317</v>
      </c>
      <c r="AL191" s="107"/>
      <c r="AM191" s="108"/>
      <c r="AN191" s="109"/>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08"/>
      <c r="CM191" s="108"/>
      <c r="CN191" s="110"/>
      <c r="CO191" s="111"/>
      <c r="CP191" s="110"/>
      <c r="CQ191" s="111"/>
      <c r="CR191" s="110"/>
      <c r="CS191" s="111"/>
      <c r="CT191" s="112">
        <f t="shared" si="48"/>
        <v>0</v>
      </c>
      <c r="CU191" s="113"/>
      <c r="CV191" s="114"/>
      <c r="CW191" s="115"/>
      <c r="CX191" s="116"/>
      <c r="CY191" s="117"/>
      <c r="CZ191" s="116"/>
      <c r="DA191" s="113"/>
      <c r="DB191" s="114"/>
      <c r="DC191" s="64"/>
      <c r="DD191" s="118"/>
    </row>
    <row r="192" spans="1:108" ht="72" outlineLevel="2">
      <c r="A192" s="178">
        <v>40467</v>
      </c>
      <c r="B192" s="164" t="s">
        <v>911</v>
      </c>
      <c r="C192" s="164" t="s">
        <v>1755</v>
      </c>
      <c r="D192" s="166" t="s">
        <v>1262</v>
      </c>
      <c r="E192" s="163"/>
      <c r="F192" s="105"/>
      <c r="G192" s="105"/>
      <c r="H192" s="105">
        <v>3890</v>
      </c>
      <c r="I192" s="105">
        <v>778</v>
      </c>
      <c r="J192" s="105"/>
      <c r="K192" s="105">
        <v>778</v>
      </c>
      <c r="L192" s="105"/>
      <c r="M192" s="105"/>
      <c r="N192" s="105"/>
      <c r="O192" s="105"/>
      <c r="P192" s="105"/>
      <c r="Q192" s="105"/>
      <c r="R192" s="105"/>
      <c r="S192" s="105"/>
      <c r="T192" s="106"/>
      <c r="U192" s="130"/>
      <c r="V192" s="1">
        <v>40505</v>
      </c>
      <c r="W192" s="68">
        <f t="shared" si="43"/>
        <v>109900000</v>
      </c>
      <c r="X192" s="68">
        <f t="shared" si="44"/>
        <v>85000000</v>
      </c>
      <c r="Y192" s="68">
        <f t="shared" si="45"/>
        <v>0</v>
      </c>
      <c r="Z192" s="68">
        <f t="shared" si="46"/>
        <v>0</v>
      </c>
      <c r="AA192" s="68"/>
      <c r="AB192" s="68">
        <v>0</v>
      </c>
      <c r="AC192" s="69">
        <f t="shared" si="47"/>
        <v>194900000</v>
      </c>
      <c r="AD192" s="70">
        <v>229500000</v>
      </c>
      <c r="AE192" s="63">
        <v>40484</v>
      </c>
      <c r="AF192" s="72">
        <v>60524</v>
      </c>
      <c r="AG192" s="63" t="s">
        <v>954</v>
      </c>
      <c r="AH192" s="23" t="s">
        <v>955</v>
      </c>
      <c r="AI192" s="60">
        <v>24401</v>
      </c>
      <c r="AJ192" s="133" t="s">
        <v>415</v>
      </c>
      <c r="AK192" s="121" t="s">
        <v>2307</v>
      </c>
      <c r="AL192" s="107"/>
      <c r="AM192" s="108"/>
      <c r="AN192" s="109"/>
      <c r="AO192" s="108"/>
      <c r="AP192" s="108"/>
      <c r="AQ192" s="108"/>
      <c r="AR192" s="108"/>
      <c r="AS192" s="108"/>
      <c r="AT192" s="108"/>
      <c r="AU192" s="108"/>
      <c r="AV192" s="108"/>
      <c r="AW192" s="108"/>
      <c r="AX192" s="108"/>
      <c r="AY192" s="108"/>
      <c r="AZ192" s="108">
        <v>500</v>
      </c>
      <c r="BA192" s="108">
        <f>500*56000</f>
        <v>28000000</v>
      </c>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v>10</v>
      </c>
      <c r="BY192" s="108">
        <f>10*520000</f>
        <v>5200000</v>
      </c>
      <c r="BZ192" s="108"/>
      <c r="CA192" s="108"/>
      <c r="CB192" s="108"/>
      <c r="CC192" s="108"/>
      <c r="CD192" s="108"/>
      <c r="CE192" s="108"/>
      <c r="CF192" s="108"/>
      <c r="CG192" s="108"/>
      <c r="CH192" s="108"/>
      <c r="CI192" s="108"/>
      <c r="CJ192" s="108"/>
      <c r="CK192" s="108"/>
      <c r="CL192" s="108"/>
      <c r="CM192" s="108"/>
      <c r="CN192" s="110">
        <v>1000</v>
      </c>
      <c r="CO192" s="111">
        <f>1000*37000</f>
        <v>37000000</v>
      </c>
      <c r="CP192" s="110">
        <v>1000</v>
      </c>
      <c r="CQ192" s="111">
        <f>1000*39700</f>
        <v>39700000</v>
      </c>
      <c r="CR192" s="110"/>
      <c r="CS192" s="111"/>
      <c r="CT192" s="112">
        <f t="shared" si="48"/>
        <v>109900000</v>
      </c>
      <c r="CU192" s="113"/>
      <c r="CV192" s="114"/>
      <c r="CW192" s="115">
        <v>1000</v>
      </c>
      <c r="CX192" s="116">
        <f>1000*85000</f>
        <v>85000000</v>
      </c>
      <c r="CY192" s="117"/>
      <c r="CZ192" s="116"/>
      <c r="DA192" s="113"/>
      <c r="DB192" s="114"/>
      <c r="DC192" s="64"/>
      <c r="DD192" s="118"/>
    </row>
    <row r="193" spans="1:108" ht="48" outlineLevel="2">
      <c r="A193" s="178">
        <v>40468</v>
      </c>
      <c r="B193" s="164" t="s">
        <v>911</v>
      </c>
      <c r="C193" s="164" t="s">
        <v>941</v>
      </c>
      <c r="D193" s="165" t="s">
        <v>1182</v>
      </c>
      <c r="E193" s="163"/>
      <c r="F193" s="105"/>
      <c r="G193" s="105"/>
      <c r="H193" s="105">
        <f>3730+125</f>
        <v>3855</v>
      </c>
      <c r="I193" s="105">
        <f>371+400</f>
        <v>771</v>
      </c>
      <c r="J193" s="105">
        <f>346+25</f>
        <v>371</v>
      </c>
      <c r="K193" s="105">
        <v>400</v>
      </c>
      <c r="L193" s="105"/>
      <c r="M193" s="105"/>
      <c r="N193" s="105"/>
      <c r="O193" s="105"/>
      <c r="P193" s="105"/>
      <c r="Q193" s="105"/>
      <c r="R193" s="105"/>
      <c r="S193" s="105"/>
      <c r="T193" s="106"/>
      <c r="U193" s="130"/>
      <c r="V193" s="1"/>
      <c r="W193" s="68">
        <f t="shared" si="43"/>
        <v>0</v>
      </c>
      <c r="X193" s="68">
        <f t="shared" si="44"/>
        <v>0</v>
      </c>
      <c r="Y193" s="68">
        <f t="shared" si="45"/>
        <v>0</v>
      </c>
      <c r="Z193" s="68">
        <f t="shared" si="46"/>
        <v>0</v>
      </c>
      <c r="AA193" s="68"/>
      <c r="AB193" s="68">
        <v>0</v>
      </c>
      <c r="AC193" s="69">
        <f t="shared" si="47"/>
        <v>0</v>
      </c>
      <c r="AD193" s="70">
        <v>0</v>
      </c>
      <c r="AE193" s="63">
        <v>40470</v>
      </c>
      <c r="AF193" s="72"/>
      <c r="AG193" s="63" t="s">
        <v>938</v>
      </c>
      <c r="AH193" s="23" t="s">
        <v>939</v>
      </c>
      <c r="AI193" s="60"/>
      <c r="AJ193" s="124" t="s">
        <v>1608</v>
      </c>
      <c r="AK193" s="121" t="s">
        <v>376</v>
      </c>
      <c r="AL193" s="107"/>
      <c r="AM193" s="108"/>
      <c r="AN193" s="109"/>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08"/>
      <c r="CM193" s="108"/>
      <c r="CN193" s="110"/>
      <c r="CO193" s="111"/>
      <c r="CP193" s="110"/>
      <c r="CQ193" s="111"/>
      <c r="CR193" s="110"/>
      <c r="CS193" s="111"/>
      <c r="CT193" s="112">
        <f t="shared" si="48"/>
        <v>0</v>
      </c>
      <c r="CU193" s="113"/>
      <c r="CV193" s="114"/>
      <c r="CW193" s="115"/>
      <c r="CX193" s="116"/>
      <c r="CY193" s="117"/>
      <c r="CZ193" s="116"/>
      <c r="DA193" s="113"/>
      <c r="DB193" s="114"/>
      <c r="DC193" s="64"/>
      <c r="DD193" s="118"/>
    </row>
    <row r="194" spans="1:108" ht="22.5" outlineLevel="2">
      <c r="A194" s="178">
        <v>40469</v>
      </c>
      <c r="B194" s="164" t="s">
        <v>911</v>
      </c>
      <c r="C194" s="164" t="s">
        <v>953</v>
      </c>
      <c r="D194" s="166" t="s">
        <v>1262</v>
      </c>
      <c r="E194" s="163"/>
      <c r="F194" s="105"/>
      <c r="G194" s="105"/>
      <c r="H194" s="105"/>
      <c r="I194" s="105"/>
      <c r="J194" s="105"/>
      <c r="K194" s="105"/>
      <c r="L194" s="105"/>
      <c r="M194" s="105"/>
      <c r="N194" s="105"/>
      <c r="O194" s="105"/>
      <c r="P194" s="105"/>
      <c r="Q194" s="105"/>
      <c r="R194" s="105"/>
      <c r="S194" s="105"/>
      <c r="T194" s="106"/>
      <c r="U194" s="130"/>
      <c r="V194" s="1">
        <v>40508</v>
      </c>
      <c r="W194" s="68">
        <f t="shared" si="43"/>
        <v>0</v>
      </c>
      <c r="X194" s="68">
        <f t="shared" si="44"/>
        <v>0</v>
      </c>
      <c r="Y194" s="68">
        <f t="shared" si="45"/>
        <v>0</v>
      </c>
      <c r="Z194" s="68">
        <f t="shared" si="46"/>
        <v>90016000</v>
      </c>
      <c r="AA194" s="68"/>
      <c r="AB194" s="68">
        <v>0</v>
      </c>
      <c r="AC194" s="69">
        <f t="shared" si="47"/>
        <v>90016000</v>
      </c>
      <c r="AD194" s="70">
        <v>0</v>
      </c>
      <c r="AE194" s="63">
        <v>40469</v>
      </c>
      <c r="AF194" s="72">
        <v>53053</v>
      </c>
      <c r="AG194" s="63" t="s">
        <v>954</v>
      </c>
      <c r="AH194" s="23" t="s">
        <v>955</v>
      </c>
      <c r="AI194" s="60">
        <v>24564</v>
      </c>
      <c r="AJ194" s="124" t="s">
        <v>1476</v>
      </c>
      <c r="AK194" s="121" t="s">
        <v>2273</v>
      </c>
      <c r="AL194" s="107"/>
      <c r="AM194" s="108"/>
      <c r="AN194" s="109"/>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c r="CN194" s="110"/>
      <c r="CO194" s="111"/>
      <c r="CP194" s="110"/>
      <c r="CQ194" s="111"/>
      <c r="CR194" s="110"/>
      <c r="CS194" s="111"/>
      <c r="CT194" s="112">
        <f t="shared" si="48"/>
        <v>0</v>
      </c>
      <c r="CU194" s="113">
        <v>100000</v>
      </c>
      <c r="CV194" s="114">
        <f>100000*900.16</f>
        <v>90016000</v>
      </c>
      <c r="CW194" s="115"/>
      <c r="CX194" s="116"/>
      <c r="CY194" s="117"/>
      <c r="CZ194" s="116"/>
      <c r="DA194" s="113"/>
      <c r="DB194" s="114"/>
      <c r="DC194" s="64"/>
      <c r="DD194" s="118">
        <v>1380</v>
      </c>
    </row>
    <row r="195" spans="1:108" ht="84" outlineLevel="2">
      <c r="A195" s="178">
        <v>40469</v>
      </c>
      <c r="B195" s="164" t="s">
        <v>911</v>
      </c>
      <c r="C195" s="164" t="s">
        <v>2295</v>
      </c>
      <c r="D195" s="166" t="s">
        <v>1262</v>
      </c>
      <c r="E195" s="163"/>
      <c r="F195" s="105"/>
      <c r="G195" s="105"/>
      <c r="H195" s="105">
        <f>1300*5</f>
        <v>6500</v>
      </c>
      <c r="I195" s="105">
        <v>1300</v>
      </c>
      <c r="J195" s="105"/>
      <c r="K195" s="105">
        <v>1300</v>
      </c>
      <c r="L195" s="105"/>
      <c r="M195" s="105"/>
      <c r="N195" s="105"/>
      <c r="O195" s="105"/>
      <c r="P195" s="105"/>
      <c r="Q195" s="105"/>
      <c r="R195" s="105"/>
      <c r="S195" s="105"/>
      <c r="T195" s="106"/>
      <c r="U195" s="130"/>
      <c r="V195" s="1">
        <v>40487</v>
      </c>
      <c r="W195" s="68">
        <f t="shared" si="43"/>
        <v>0</v>
      </c>
      <c r="X195" s="68">
        <f t="shared" si="44"/>
        <v>0</v>
      </c>
      <c r="Y195" s="68">
        <f t="shared" si="45"/>
        <v>0</v>
      </c>
      <c r="Z195" s="68">
        <f t="shared" si="46"/>
        <v>0</v>
      </c>
      <c r="AA195" s="68"/>
      <c r="AB195" s="68">
        <v>37000000</v>
      </c>
      <c r="AC195" s="69">
        <f t="shared" si="47"/>
        <v>37000000</v>
      </c>
      <c r="AD195" s="70">
        <v>110500000</v>
      </c>
      <c r="AE195" s="63">
        <v>40470</v>
      </c>
      <c r="AF195" s="72"/>
      <c r="AG195" s="63" t="s">
        <v>954</v>
      </c>
      <c r="AH195" s="23" t="s">
        <v>955</v>
      </c>
      <c r="AI195" s="60"/>
      <c r="AJ195" s="124" t="s">
        <v>415</v>
      </c>
      <c r="AK195" s="121" t="s">
        <v>399</v>
      </c>
      <c r="AL195" s="107"/>
      <c r="AM195" s="108"/>
      <c r="AN195" s="109"/>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08"/>
      <c r="CM195" s="108"/>
      <c r="CN195" s="110"/>
      <c r="CO195" s="111"/>
      <c r="CP195" s="110"/>
      <c r="CQ195" s="111"/>
      <c r="CR195" s="110"/>
      <c r="CS195" s="111"/>
      <c r="CT195" s="112">
        <f t="shared" si="48"/>
        <v>0</v>
      </c>
      <c r="CU195" s="113"/>
      <c r="CV195" s="114"/>
      <c r="CW195" s="115"/>
      <c r="CX195" s="116"/>
      <c r="CY195" s="117"/>
      <c r="CZ195" s="116"/>
      <c r="DA195" s="113"/>
      <c r="DB195" s="114"/>
      <c r="DC195" s="64"/>
      <c r="DD195" s="118"/>
    </row>
    <row r="196" spans="1:108" ht="60" outlineLevel="2">
      <c r="A196" s="178">
        <v>40469</v>
      </c>
      <c r="B196" s="164" t="s">
        <v>911</v>
      </c>
      <c r="C196" s="164" t="s">
        <v>2233</v>
      </c>
      <c r="D196" s="166" t="s">
        <v>1262</v>
      </c>
      <c r="E196" s="163"/>
      <c r="F196" s="105"/>
      <c r="G196" s="105"/>
      <c r="H196" s="105">
        <f>1371*5</f>
        <v>6855</v>
      </c>
      <c r="I196" s="105">
        <v>1371</v>
      </c>
      <c r="J196" s="105"/>
      <c r="K196" s="105"/>
      <c r="L196" s="105"/>
      <c r="M196" s="105"/>
      <c r="N196" s="105"/>
      <c r="O196" s="105"/>
      <c r="P196" s="105"/>
      <c r="Q196" s="105"/>
      <c r="R196" s="105"/>
      <c r="S196" s="105"/>
      <c r="T196" s="106"/>
      <c r="U196" s="130"/>
      <c r="V196" s="1"/>
      <c r="W196" s="68">
        <f t="shared" si="43"/>
        <v>0</v>
      </c>
      <c r="X196" s="68">
        <f t="shared" si="44"/>
        <v>0</v>
      </c>
      <c r="Y196" s="68">
        <f t="shared" si="45"/>
        <v>0</v>
      </c>
      <c r="Z196" s="68">
        <f t="shared" si="46"/>
        <v>0</v>
      </c>
      <c r="AA196" s="68"/>
      <c r="AB196" s="68">
        <v>0</v>
      </c>
      <c r="AC196" s="69">
        <f t="shared" si="47"/>
        <v>0</v>
      </c>
      <c r="AD196" s="70">
        <v>116535000</v>
      </c>
      <c r="AE196" s="63">
        <v>40470</v>
      </c>
      <c r="AF196" s="72"/>
      <c r="AG196" s="63" t="s">
        <v>954</v>
      </c>
      <c r="AH196" s="23" t="s">
        <v>955</v>
      </c>
      <c r="AI196" s="60"/>
      <c r="AJ196" s="124" t="s">
        <v>1608</v>
      </c>
      <c r="AK196" s="121" t="s">
        <v>2311</v>
      </c>
      <c r="AL196" s="107"/>
      <c r="AM196" s="108"/>
      <c r="AN196" s="109"/>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c r="CN196" s="110"/>
      <c r="CO196" s="111"/>
      <c r="CP196" s="110"/>
      <c r="CQ196" s="111"/>
      <c r="CR196" s="110"/>
      <c r="CS196" s="111"/>
      <c r="CT196" s="112">
        <f t="shared" si="48"/>
        <v>0</v>
      </c>
      <c r="CU196" s="113"/>
      <c r="CV196" s="114"/>
      <c r="CW196" s="115"/>
      <c r="CX196" s="116"/>
      <c r="CY196" s="117"/>
      <c r="CZ196" s="116"/>
      <c r="DA196" s="113"/>
      <c r="DB196" s="114"/>
      <c r="DC196" s="64"/>
      <c r="DD196" s="118"/>
    </row>
    <row r="197" spans="1:108" ht="24" outlineLevel="2">
      <c r="A197" s="178">
        <v>40474</v>
      </c>
      <c r="B197" s="164" t="s">
        <v>911</v>
      </c>
      <c r="C197" s="164" t="s">
        <v>941</v>
      </c>
      <c r="D197" s="166" t="s">
        <v>1262</v>
      </c>
      <c r="E197" s="163"/>
      <c r="F197" s="105"/>
      <c r="G197" s="105"/>
      <c r="H197" s="105">
        <v>1500</v>
      </c>
      <c r="I197" s="105">
        <v>300</v>
      </c>
      <c r="J197" s="105"/>
      <c r="K197" s="105">
        <v>300</v>
      </c>
      <c r="L197" s="105"/>
      <c r="M197" s="105"/>
      <c r="N197" s="105"/>
      <c r="O197" s="105"/>
      <c r="P197" s="105"/>
      <c r="Q197" s="105"/>
      <c r="R197" s="105"/>
      <c r="S197" s="105"/>
      <c r="T197" s="106"/>
      <c r="U197" s="130"/>
      <c r="V197" s="1"/>
      <c r="W197" s="68">
        <f t="shared" si="43"/>
        <v>0</v>
      </c>
      <c r="X197" s="68">
        <f t="shared" si="44"/>
        <v>0</v>
      </c>
      <c r="Y197" s="68">
        <f t="shared" si="45"/>
        <v>0</v>
      </c>
      <c r="Z197" s="68">
        <f t="shared" si="46"/>
        <v>0</v>
      </c>
      <c r="AA197" s="68"/>
      <c r="AB197" s="68">
        <v>0</v>
      </c>
      <c r="AC197" s="69">
        <f t="shared" si="47"/>
        <v>0</v>
      </c>
      <c r="AD197" s="70">
        <v>0</v>
      </c>
      <c r="AE197" s="63">
        <v>40476</v>
      </c>
      <c r="AF197" s="72"/>
      <c r="AG197" s="63" t="s">
        <v>938</v>
      </c>
      <c r="AH197" s="23" t="s">
        <v>939</v>
      </c>
      <c r="AI197" s="60"/>
      <c r="AJ197" s="124" t="s">
        <v>1608</v>
      </c>
      <c r="AK197" s="121" t="s">
        <v>1796</v>
      </c>
      <c r="AL197" s="107"/>
      <c r="AM197" s="108"/>
      <c r="AN197" s="109"/>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10"/>
      <c r="CO197" s="111"/>
      <c r="CP197" s="110"/>
      <c r="CQ197" s="111"/>
      <c r="CR197" s="110"/>
      <c r="CS197" s="111"/>
      <c r="CT197" s="112">
        <f t="shared" si="48"/>
        <v>0</v>
      </c>
      <c r="CU197" s="113"/>
      <c r="CV197" s="114"/>
      <c r="CW197" s="115"/>
      <c r="CX197" s="116"/>
      <c r="CY197" s="117"/>
      <c r="CZ197" s="116"/>
      <c r="DA197" s="113"/>
      <c r="DB197" s="114"/>
      <c r="DC197" s="64"/>
      <c r="DD197" s="118"/>
    </row>
    <row r="198" spans="1:108" ht="48" outlineLevel="2">
      <c r="A198" s="178">
        <v>40491</v>
      </c>
      <c r="B198" s="164" t="s">
        <v>911</v>
      </c>
      <c r="C198" s="164" t="s">
        <v>592</v>
      </c>
      <c r="D198" s="166" t="s">
        <v>1262</v>
      </c>
      <c r="E198" s="163"/>
      <c r="F198" s="105"/>
      <c r="G198" s="105"/>
      <c r="H198" s="105">
        <f>746*5</f>
        <v>3730</v>
      </c>
      <c r="I198" s="105">
        <v>746</v>
      </c>
      <c r="J198" s="105"/>
      <c r="K198" s="105">
        <v>746</v>
      </c>
      <c r="L198" s="105"/>
      <c r="M198" s="105"/>
      <c r="N198" s="105"/>
      <c r="O198" s="105"/>
      <c r="P198" s="105"/>
      <c r="Q198" s="105"/>
      <c r="R198" s="105"/>
      <c r="S198" s="105"/>
      <c r="T198" s="106"/>
      <c r="U198" s="130"/>
      <c r="V198" s="1"/>
      <c r="W198" s="68">
        <f t="shared" si="43"/>
        <v>0</v>
      </c>
      <c r="X198" s="68">
        <f t="shared" si="44"/>
        <v>0</v>
      </c>
      <c r="Y198" s="68">
        <f t="shared" si="45"/>
        <v>0</v>
      </c>
      <c r="Z198" s="68">
        <f t="shared" si="46"/>
        <v>0</v>
      </c>
      <c r="AA198" s="68"/>
      <c r="AB198" s="68">
        <v>0</v>
      </c>
      <c r="AC198" s="69">
        <f t="shared" si="47"/>
        <v>0</v>
      </c>
      <c r="AD198" s="70">
        <v>63410000</v>
      </c>
      <c r="AE198" s="63">
        <v>40494</v>
      </c>
      <c r="AF198" s="72"/>
      <c r="AG198" s="63" t="s">
        <v>954</v>
      </c>
      <c r="AH198" s="23" t="s">
        <v>955</v>
      </c>
      <c r="AI198" s="60"/>
      <c r="AJ198" s="124" t="s">
        <v>1608</v>
      </c>
      <c r="AK198" s="121" t="s">
        <v>593</v>
      </c>
      <c r="AL198" s="107"/>
      <c r="AM198" s="108"/>
      <c r="AN198" s="109"/>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c r="CN198" s="110"/>
      <c r="CO198" s="111"/>
      <c r="CP198" s="110"/>
      <c r="CQ198" s="111"/>
      <c r="CR198" s="110"/>
      <c r="CS198" s="111"/>
      <c r="CT198" s="112">
        <f t="shared" si="48"/>
        <v>0</v>
      </c>
      <c r="CU198" s="113"/>
      <c r="CV198" s="114"/>
      <c r="CW198" s="115"/>
      <c r="CX198" s="116"/>
      <c r="CY198" s="117"/>
      <c r="CZ198" s="116"/>
      <c r="DA198" s="113"/>
      <c r="DB198" s="114"/>
      <c r="DC198" s="64"/>
      <c r="DD198" s="118"/>
    </row>
    <row r="199" spans="1:108" ht="24" outlineLevel="2">
      <c r="A199" s="178">
        <v>40491</v>
      </c>
      <c r="B199" s="164" t="s">
        <v>911</v>
      </c>
      <c r="C199" s="164" t="s">
        <v>589</v>
      </c>
      <c r="D199" s="165" t="s">
        <v>1182</v>
      </c>
      <c r="E199" s="163"/>
      <c r="F199" s="105"/>
      <c r="G199" s="105"/>
      <c r="H199" s="105">
        <v>40</v>
      </c>
      <c r="I199" s="105">
        <v>8</v>
      </c>
      <c r="J199" s="105"/>
      <c r="K199" s="105">
        <v>8</v>
      </c>
      <c r="L199" s="105"/>
      <c r="M199" s="105"/>
      <c r="N199" s="105"/>
      <c r="O199" s="105"/>
      <c r="P199" s="105"/>
      <c r="Q199" s="105"/>
      <c r="R199" s="105"/>
      <c r="S199" s="105"/>
      <c r="T199" s="106"/>
      <c r="U199" s="130"/>
      <c r="V199" s="1"/>
      <c r="W199" s="68">
        <f t="shared" si="43"/>
        <v>0</v>
      </c>
      <c r="X199" s="68">
        <f t="shared" si="44"/>
        <v>0</v>
      </c>
      <c r="Y199" s="68">
        <f t="shared" si="45"/>
        <v>0</v>
      </c>
      <c r="Z199" s="68">
        <f t="shared" si="46"/>
        <v>0</v>
      </c>
      <c r="AA199" s="68"/>
      <c r="AB199" s="68">
        <v>0</v>
      </c>
      <c r="AC199" s="69">
        <f t="shared" si="47"/>
        <v>0</v>
      </c>
      <c r="AD199" s="70">
        <v>0</v>
      </c>
      <c r="AE199" s="63">
        <v>40494</v>
      </c>
      <c r="AF199" s="72"/>
      <c r="AG199" s="63" t="s">
        <v>938</v>
      </c>
      <c r="AH199" s="23" t="s">
        <v>939</v>
      </c>
      <c r="AI199" s="60"/>
      <c r="AJ199" s="124" t="s">
        <v>1608</v>
      </c>
      <c r="AK199" s="121" t="s">
        <v>590</v>
      </c>
      <c r="AL199" s="107"/>
      <c r="AM199" s="108"/>
      <c r="AN199" s="109"/>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10"/>
      <c r="CO199" s="111"/>
      <c r="CP199" s="110"/>
      <c r="CQ199" s="111"/>
      <c r="CR199" s="110"/>
      <c r="CS199" s="111"/>
      <c r="CT199" s="112">
        <f t="shared" si="48"/>
        <v>0</v>
      </c>
      <c r="CU199" s="113"/>
      <c r="CV199" s="114"/>
      <c r="CW199" s="115"/>
      <c r="CX199" s="116"/>
      <c r="CY199" s="117"/>
      <c r="CZ199" s="116"/>
      <c r="DA199" s="113"/>
      <c r="DB199" s="114"/>
      <c r="DC199" s="64"/>
      <c r="DD199" s="118"/>
    </row>
    <row r="200" spans="1:108" ht="36" outlineLevel="2">
      <c r="A200" s="178">
        <v>40491</v>
      </c>
      <c r="B200" s="164" t="s">
        <v>911</v>
      </c>
      <c r="C200" s="164" t="s">
        <v>589</v>
      </c>
      <c r="D200" s="166" t="s">
        <v>1262</v>
      </c>
      <c r="E200" s="163"/>
      <c r="F200" s="105"/>
      <c r="G200" s="105"/>
      <c r="H200" s="105">
        <v>250</v>
      </c>
      <c r="I200" s="105">
        <v>50</v>
      </c>
      <c r="J200" s="105"/>
      <c r="K200" s="105">
        <v>50</v>
      </c>
      <c r="L200" s="105"/>
      <c r="M200" s="105"/>
      <c r="N200" s="105"/>
      <c r="O200" s="105"/>
      <c r="P200" s="105"/>
      <c r="Q200" s="105"/>
      <c r="R200" s="105"/>
      <c r="S200" s="105"/>
      <c r="T200" s="106"/>
      <c r="U200" s="130"/>
      <c r="V200" s="1"/>
      <c r="W200" s="68">
        <f t="shared" si="43"/>
        <v>0</v>
      </c>
      <c r="X200" s="68">
        <f t="shared" si="44"/>
        <v>0</v>
      </c>
      <c r="Y200" s="68">
        <f t="shared" si="45"/>
        <v>0</v>
      </c>
      <c r="Z200" s="68">
        <f t="shared" si="46"/>
        <v>0</v>
      </c>
      <c r="AA200" s="68"/>
      <c r="AB200" s="68">
        <v>0</v>
      </c>
      <c r="AC200" s="69">
        <f t="shared" si="47"/>
        <v>0</v>
      </c>
      <c r="AD200" s="70">
        <v>0</v>
      </c>
      <c r="AE200" s="63">
        <v>40494</v>
      </c>
      <c r="AF200" s="72"/>
      <c r="AG200" s="63" t="s">
        <v>938</v>
      </c>
      <c r="AH200" s="23" t="s">
        <v>939</v>
      </c>
      <c r="AI200" s="60"/>
      <c r="AJ200" s="124" t="s">
        <v>1608</v>
      </c>
      <c r="AK200" s="121" t="s">
        <v>591</v>
      </c>
      <c r="AL200" s="107"/>
      <c r="AM200" s="108"/>
      <c r="AN200" s="109"/>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10"/>
      <c r="CO200" s="111"/>
      <c r="CP200" s="110"/>
      <c r="CQ200" s="111"/>
      <c r="CR200" s="110"/>
      <c r="CS200" s="111"/>
      <c r="CT200" s="112">
        <f t="shared" si="48"/>
        <v>0</v>
      </c>
      <c r="CU200" s="113"/>
      <c r="CV200" s="114"/>
      <c r="CW200" s="115"/>
      <c r="CX200" s="116"/>
      <c r="CY200" s="117"/>
      <c r="CZ200" s="116"/>
      <c r="DA200" s="113"/>
      <c r="DB200" s="114"/>
      <c r="DC200" s="64"/>
      <c r="DD200" s="118"/>
    </row>
    <row r="201" spans="1:108" ht="36" outlineLevel="2">
      <c r="A201" s="178">
        <v>40494</v>
      </c>
      <c r="B201" s="164" t="s">
        <v>911</v>
      </c>
      <c r="C201" s="164" t="s">
        <v>941</v>
      </c>
      <c r="D201" s="166" t="s">
        <v>1262</v>
      </c>
      <c r="E201" s="163"/>
      <c r="F201" s="105"/>
      <c r="G201" s="105"/>
      <c r="H201" s="105">
        <v>25</v>
      </c>
      <c r="I201" s="105">
        <v>5</v>
      </c>
      <c r="J201" s="105"/>
      <c r="K201" s="105">
        <v>5</v>
      </c>
      <c r="L201" s="105"/>
      <c r="M201" s="105"/>
      <c r="N201" s="105"/>
      <c r="O201" s="105"/>
      <c r="P201" s="105"/>
      <c r="Q201" s="105"/>
      <c r="R201" s="105"/>
      <c r="S201" s="105"/>
      <c r="T201" s="106"/>
      <c r="U201" s="130" t="s">
        <v>30</v>
      </c>
      <c r="V201" s="1"/>
      <c r="W201" s="68">
        <f t="shared" si="43"/>
        <v>0</v>
      </c>
      <c r="X201" s="68">
        <f t="shared" si="44"/>
        <v>0</v>
      </c>
      <c r="Y201" s="68">
        <f t="shared" si="45"/>
        <v>0</v>
      </c>
      <c r="Z201" s="68">
        <f t="shared" si="46"/>
        <v>0</v>
      </c>
      <c r="AA201" s="68"/>
      <c r="AB201" s="68">
        <v>0</v>
      </c>
      <c r="AC201" s="69">
        <f t="shared" si="47"/>
        <v>0</v>
      </c>
      <c r="AD201" s="70">
        <v>0</v>
      </c>
      <c r="AE201" s="63">
        <v>40497</v>
      </c>
      <c r="AF201" s="72"/>
      <c r="AG201" s="63" t="s">
        <v>938</v>
      </c>
      <c r="AH201" s="23" t="s">
        <v>939</v>
      </c>
      <c r="AI201" s="60"/>
      <c r="AJ201" s="124" t="s">
        <v>1608</v>
      </c>
      <c r="AK201" s="121" t="s">
        <v>29</v>
      </c>
      <c r="AL201" s="107"/>
      <c r="AM201" s="108"/>
      <c r="AN201" s="109"/>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10"/>
      <c r="CO201" s="111"/>
      <c r="CP201" s="110"/>
      <c r="CQ201" s="111"/>
      <c r="CR201" s="110"/>
      <c r="CS201" s="111"/>
      <c r="CT201" s="112">
        <f t="shared" si="48"/>
        <v>0</v>
      </c>
      <c r="CU201" s="113"/>
      <c r="CV201" s="114"/>
      <c r="CW201" s="115"/>
      <c r="CX201" s="116"/>
      <c r="CY201" s="117"/>
      <c r="CZ201" s="116"/>
      <c r="DA201" s="113"/>
      <c r="DB201" s="114"/>
      <c r="DC201" s="64"/>
      <c r="DD201" s="118"/>
    </row>
    <row r="202" spans="1:108" ht="24" outlineLevel="2">
      <c r="A202" s="178">
        <v>40499</v>
      </c>
      <c r="B202" s="164" t="s">
        <v>911</v>
      </c>
      <c r="C202" s="164" t="s">
        <v>1421</v>
      </c>
      <c r="D202" s="166" t="s">
        <v>1262</v>
      </c>
      <c r="E202" s="163"/>
      <c r="F202" s="105"/>
      <c r="G202" s="105"/>
      <c r="H202" s="105">
        <f>432*5</f>
        <v>2160</v>
      </c>
      <c r="I202" s="105">
        <v>432</v>
      </c>
      <c r="J202" s="105"/>
      <c r="K202" s="105">
        <v>432</v>
      </c>
      <c r="L202" s="105"/>
      <c r="M202" s="105"/>
      <c r="N202" s="105"/>
      <c r="O202" s="105"/>
      <c r="P202" s="105"/>
      <c r="Q202" s="105"/>
      <c r="R202" s="105"/>
      <c r="S202" s="105"/>
      <c r="T202" s="106"/>
      <c r="U202" s="130"/>
      <c r="V202" s="1"/>
      <c r="W202" s="68">
        <f t="shared" si="43"/>
        <v>0</v>
      </c>
      <c r="X202" s="68">
        <f t="shared" si="44"/>
        <v>0</v>
      </c>
      <c r="Y202" s="68">
        <f t="shared" si="45"/>
        <v>0</v>
      </c>
      <c r="Z202" s="68">
        <f t="shared" si="46"/>
        <v>0</v>
      </c>
      <c r="AA202" s="68"/>
      <c r="AB202" s="68">
        <v>0</v>
      </c>
      <c r="AC202" s="69">
        <f t="shared" si="47"/>
        <v>0</v>
      </c>
      <c r="AD202" s="70">
        <v>144670000</v>
      </c>
      <c r="AE202" s="63">
        <v>40504</v>
      </c>
      <c r="AF202" s="72"/>
      <c r="AG202" s="63" t="s">
        <v>954</v>
      </c>
      <c r="AH202" s="23" t="s">
        <v>955</v>
      </c>
      <c r="AI202" s="60"/>
      <c r="AJ202" s="124" t="s">
        <v>1608</v>
      </c>
      <c r="AK202" s="121" t="s">
        <v>92</v>
      </c>
      <c r="AL202" s="107"/>
      <c r="AM202" s="108"/>
      <c r="AN202" s="109"/>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c r="CN202" s="110"/>
      <c r="CO202" s="111"/>
      <c r="CP202" s="110"/>
      <c r="CQ202" s="111"/>
      <c r="CR202" s="110"/>
      <c r="CS202" s="111"/>
      <c r="CT202" s="112">
        <f t="shared" si="48"/>
        <v>0</v>
      </c>
      <c r="CU202" s="113"/>
      <c r="CV202" s="114"/>
      <c r="CW202" s="115"/>
      <c r="CX202" s="116"/>
      <c r="CY202" s="117"/>
      <c r="CZ202" s="116"/>
      <c r="DA202" s="113"/>
      <c r="DB202" s="114"/>
      <c r="DC202" s="64"/>
      <c r="DD202" s="118"/>
    </row>
    <row r="203" spans="1:108" ht="24" outlineLevel="2">
      <c r="A203" s="178">
        <v>40500</v>
      </c>
      <c r="B203" s="164" t="s">
        <v>911</v>
      </c>
      <c r="C203" s="164" t="s">
        <v>2233</v>
      </c>
      <c r="D203" s="165" t="s">
        <v>1182</v>
      </c>
      <c r="E203" s="163"/>
      <c r="F203" s="105"/>
      <c r="G203" s="105"/>
      <c r="H203" s="105"/>
      <c r="I203" s="105"/>
      <c r="J203" s="105"/>
      <c r="K203" s="105"/>
      <c r="L203" s="105"/>
      <c r="M203" s="105"/>
      <c r="N203" s="105"/>
      <c r="O203" s="105"/>
      <c r="P203" s="105"/>
      <c r="Q203" s="105"/>
      <c r="R203" s="105"/>
      <c r="S203" s="105"/>
      <c r="T203" s="106"/>
      <c r="U203" s="130"/>
      <c r="V203" s="1"/>
      <c r="W203" s="68">
        <f t="shared" si="43"/>
        <v>0</v>
      </c>
      <c r="X203" s="68">
        <f t="shared" si="44"/>
        <v>0</v>
      </c>
      <c r="Y203" s="68">
        <f t="shared" si="45"/>
        <v>0</v>
      </c>
      <c r="Z203" s="68">
        <f t="shared" si="46"/>
        <v>0</v>
      </c>
      <c r="AA203" s="68"/>
      <c r="AB203" s="68">
        <v>0</v>
      </c>
      <c r="AC203" s="69">
        <f t="shared" si="47"/>
        <v>0</v>
      </c>
      <c r="AD203" s="70">
        <v>0</v>
      </c>
      <c r="AE203" s="63">
        <v>40504</v>
      </c>
      <c r="AF203" s="72"/>
      <c r="AG203" s="63" t="s">
        <v>938</v>
      </c>
      <c r="AH203" s="23" t="s">
        <v>939</v>
      </c>
      <c r="AI203" s="60"/>
      <c r="AJ203" s="124" t="s">
        <v>1608</v>
      </c>
      <c r="AK203" s="121" t="s">
        <v>654</v>
      </c>
      <c r="AL203" s="107"/>
      <c r="AM203" s="108"/>
      <c r="AN203" s="109"/>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c r="CN203" s="110"/>
      <c r="CO203" s="111"/>
      <c r="CP203" s="110"/>
      <c r="CQ203" s="111"/>
      <c r="CR203" s="110"/>
      <c r="CS203" s="111"/>
      <c r="CT203" s="112">
        <f t="shared" si="48"/>
        <v>0</v>
      </c>
      <c r="CU203" s="113"/>
      <c r="CV203" s="114"/>
      <c r="CW203" s="115"/>
      <c r="CX203" s="116"/>
      <c r="CY203" s="117"/>
      <c r="CZ203" s="116"/>
      <c r="DA203" s="113"/>
      <c r="DB203" s="114"/>
      <c r="DC203" s="64"/>
      <c r="DD203" s="118"/>
    </row>
    <row r="204" spans="1:108" outlineLevel="2">
      <c r="A204" s="178">
        <v>40502</v>
      </c>
      <c r="B204" s="164" t="s">
        <v>911</v>
      </c>
      <c r="C204" s="164" t="s">
        <v>1464</v>
      </c>
      <c r="D204" s="165" t="s">
        <v>1182</v>
      </c>
      <c r="E204" s="163"/>
      <c r="F204" s="105"/>
      <c r="G204" s="105"/>
      <c r="H204" s="105">
        <f>30*5</f>
        <v>150</v>
      </c>
      <c r="I204" s="105">
        <v>30</v>
      </c>
      <c r="J204" s="105"/>
      <c r="K204" s="105">
        <v>30</v>
      </c>
      <c r="L204" s="105"/>
      <c r="M204" s="105"/>
      <c r="N204" s="105"/>
      <c r="O204" s="105"/>
      <c r="P204" s="105"/>
      <c r="Q204" s="105"/>
      <c r="R204" s="105"/>
      <c r="S204" s="105"/>
      <c r="T204" s="106"/>
      <c r="U204" s="130"/>
      <c r="V204" s="1"/>
      <c r="W204" s="68">
        <f t="shared" ref="W204:W211" si="49">CT204</f>
        <v>0</v>
      </c>
      <c r="X204" s="68">
        <f t="shared" ref="X204:X211" si="50">CX204</f>
        <v>0</v>
      </c>
      <c r="Y204" s="68">
        <f t="shared" ref="Y204:Y211" si="51">CZ204+DB204</f>
        <v>0</v>
      </c>
      <c r="Z204" s="68">
        <f t="shared" ref="Z204:Z211" si="52">CV204</f>
        <v>0</v>
      </c>
      <c r="AA204" s="68"/>
      <c r="AB204" s="68">
        <v>0</v>
      </c>
      <c r="AC204" s="69">
        <f t="shared" ref="AC204:AC211" si="53">W204+X204+Y204+Z204+AA204+AB204</f>
        <v>0</v>
      </c>
      <c r="AD204" s="70">
        <v>2550000</v>
      </c>
      <c r="AE204" s="63">
        <v>40504</v>
      </c>
      <c r="AF204" s="72"/>
      <c r="AG204" s="63" t="s">
        <v>954</v>
      </c>
      <c r="AH204" s="23" t="s">
        <v>955</v>
      </c>
      <c r="AI204" s="60"/>
      <c r="AJ204" s="124" t="s">
        <v>1608</v>
      </c>
      <c r="AK204" s="121" t="s">
        <v>437</v>
      </c>
      <c r="AL204" s="107"/>
      <c r="AM204" s="108"/>
      <c r="AN204" s="109"/>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c r="CN204" s="110"/>
      <c r="CO204" s="111"/>
      <c r="CP204" s="110"/>
      <c r="CQ204" s="111"/>
      <c r="CR204" s="110"/>
      <c r="CS204" s="111"/>
      <c r="CT204" s="112">
        <f t="shared" ref="CT204:CT211" si="54">AM204+AO204+AQ204+AS204+AU204+AW204+AY204+BA204+BC204+BE204+BG204+BI204+BK204+BM204+BO204+BQ204+BS204+BU204+BW204+BY204+CA204+CC204+CE204+CG204+CI204+CK204+CM204+CO204+CQ204+CS204</f>
        <v>0</v>
      </c>
      <c r="CU204" s="113"/>
      <c r="CV204" s="114"/>
      <c r="CW204" s="115"/>
      <c r="CX204" s="116"/>
      <c r="CY204" s="117"/>
      <c r="CZ204" s="116"/>
      <c r="DA204" s="113"/>
      <c r="DB204" s="114"/>
      <c r="DC204" s="64"/>
      <c r="DD204" s="118"/>
    </row>
    <row r="205" spans="1:108" ht="48" outlineLevel="2">
      <c r="A205" s="178">
        <v>40504</v>
      </c>
      <c r="B205" s="164" t="s">
        <v>911</v>
      </c>
      <c r="C205" s="164" t="s">
        <v>910</v>
      </c>
      <c r="D205" s="166" t="s">
        <v>1262</v>
      </c>
      <c r="E205" s="163"/>
      <c r="F205" s="105"/>
      <c r="G205" s="105"/>
      <c r="H205" s="105">
        <f>69*5</f>
        <v>345</v>
      </c>
      <c r="I205" s="105">
        <v>69</v>
      </c>
      <c r="J205" s="105"/>
      <c r="K205" s="105"/>
      <c r="L205" s="105"/>
      <c r="M205" s="105"/>
      <c r="N205" s="105"/>
      <c r="O205" s="105"/>
      <c r="P205" s="105"/>
      <c r="Q205" s="105"/>
      <c r="R205" s="105"/>
      <c r="S205" s="105"/>
      <c r="T205" s="106"/>
      <c r="U205" s="130"/>
      <c r="V205" s="1">
        <v>40526</v>
      </c>
      <c r="W205" s="68">
        <f t="shared" si="49"/>
        <v>0</v>
      </c>
      <c r="X205" s="68">
        <f t="shared" si="50"/>
        <v>0</v>
      </c>
      <c r="Y205" s="68">
        <f t="shared" si="51"/>
        <v>0</v>
      </c>
      <c r="Z205" s="68">
        <f t="shared" si="52"/>
        <v>0</v>
      </c>
      <c r="AA205" s="68"/>
      <c r="AB205" s="68">
        <v>35043750</v>
      </c>
      <c r="AC205" s="69">
        <f t="shared" si="53"/>
        <v>35043750</v>
      </c>
      <c r="AD205" s="70">
        <v>5865000</v>
      </c>
      <c r="AE205" s="63">
        <v>40504</v>
      </c>
      <c r="AF205" s="72">
        <v>66788</v>
      </c>
      <c r="AG205" s="63" t="s">
        <v>954</v>
      </c>
      <c r="AH205" s="23" t="s">
        <v>955</v>
      </c>
      <c r="AI205" s="60">
        <v>0.47172999999999998</v>
      </c>
      <c r="AJ205" s="124" t="s">
        <v>1476</v>
      </c>
      <c r="AK205" s="125" t="s">
        <v>2415</v>
      </c>
      <c r="AL205" s="107"/>
      <c r="AM205" s="108"/>
      <c r="AN205" s="109"/>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10"/>
      <c r="CO205" s="111"/>
      <c r="CP205" s="110"/>
      <c r="CQ205" s="111"/>
      <c r="CR205" s="110"/>
      <c r="CS205" s="111"/>
      <c r="CT205" s="112">
        <f t="shared" si="54"/>
        <v>0</v>
      </c>
      <c r="CU205" s="113"/>
      <c r="CV205" s="114"/>
      <c r="CW205" s="115"/>
      <c r="CX205" s="116"/>
      <c r="CY205" s="117"/>
      <c r="CZ205" s="116"/>
      <c r="DA205" s="113"/>
      <c r="DB205" s="114"/>
      <c r="DC205" s="64">
        <v>2</v>
      </c>
      <c r="DD205" s="118"/>
    </row>
    <row r="206" spans="1:108" ht="22.5" outlineLevel="2">
      <c r="A206" s="178">
        <v>40504</v>
      </c>
      <c r="B206" s="164" t="s">
        <v>911</v>
      </c>
      <c r="C206" s="164" t="s">
        <v>695</v>
      </c>
      <c r="D206" s="166" t="s">
        <v>1262</v>
      </c>
      <c r="E206" s="163"/>
      <c r="F206" s="105"/>
      <c r="G206" s="105"/>
      <c r="H206" s="105">
        <f>277*5</f>
        <v>1385</v>
      </c>
      <c r="I206" s="105">
        <v>277</v>
      </c>
      <c r="J206" s="105"/>
      <c r="K206" s="105"/>
      <c r="L206" s="105"/>
      <c r="M206" s="105"/>
      <c r="N206" s="105"/>
      <c r="O206" s="105"/>
      <c r="P206" s="105"/>
      <c r="Q206" s="105"/>
      <c r="R206" s="105"/>
      <c r="S206" s="105"/>
      <c r="T206" s="106"/>
      <c r="U206" s="130"/>
      <c r="V206" s="1"/>
      <c r="W206" s="68">
        <f t="shared" si="49"/>
        <v>0</v>
      </c>
      <c r="X206" s="68">
        <f t="shared" si="50"/>
        <v>0</v>
      </c>
      <c r="Y206" s="68">
        <f t="shared" si="51"/>
        <v>0</v>
      </c>
      <c r="Z206" s="68">
        <f t="shared" si="52"/>
        <v>0</v>
      </c>
      <c r="AA206" s="68"/>
      <c r="AB206" s="68">
        <v>0</v>
      </c>
      <c r="AC206" s="69">
        <f t="shared" si="53"/>
        <v>0</v>
      </c>
      <c r="AD206" s="70">
        <v>23545000</v>
      </c>
      <c r="AE206" s="63">
        <v>40504</v>
      </c>
      <c r="AF206" s="72"/>
      <c r="AG206" s="63" t="s">
        <v>954</v>
      </c>
      <c r="AH206" s="23" t="s">
        <v>955</v>
      </c>
      <c r="AI206" s="60"/>
      <c r="AJ206" s="124" t="s">
        <v>1608</v>
      </c>
      <c r="AK206" s="121"/>
      <c r="AL206" s="107"/>
      <c r="AM206" s="108"/>
      <c r="AN206" s="109"/>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10"/>
      <c r="CO206" s="111"/>
      <c r="CP206" s="110"/>
      <c r="CQ206" s="111"/>
      <c r="CR206" s="110"/>
      <c r="CS206" s="111"/>
      <c r="CT206" s="112">
        <f t="shared" si="54"/>
        <v>0</v>
      </c>
      <c r="CU206" s="113"/>
      <c r="CV206" s="114"/>
      <c r="CW206" s="115"/>
      <c r="CX206" s="116"/>
      <c r="CY206" s="117"/>
      <c r="CZ206" s="116"/>
      <c r="DA206" s="113"/>
      <c r="DB206" s="114"/>
      <c r="DC206" s="64"/>
      <c r="DD206" s="118"/>
    </row>
    <row r="207" spans="1:108" outlineLevel="2">
      <c r="A207" s="178">
        <v>40504</v>
      </c>
      <c r="B207" s="164" t="s">
        <v>911</v>
      </c>
      <c r="C207" s="164" t="s">
        <v>2296</v>
      </c>
      <c r="D207" s="166" t="s">
        <v>1262</v>
      </c>
      <c r="E207" s="163"/>
      <c r="F207" s="105"/>
      <c r="G207" s="105"/>
      <c r="H207" s="105">
        <f>1227*5</f>
        <v>6135</v>
      </c>
      <c r="I207" s="105">
        <v>1227</v>
      </c>
      <c r="J207" s="105"/>
      <c r="K207" s="105"/>
      <c r="L207" s="105"/>
      <c r="M207" s="105"/>
      <c r="N207" s="105"/>
      <c r="O207" s="105"/>
      <c r="P207" s="105"/>
      <c r="Q207" s="105"/>
      <c r="R207" s="105"/>
      <c r="S207" s="105"/>
      <c r="T207" s="106"/>
      <c r="U207" s="130"/>
      <c r="V207" s="1"/>
      <c r="W207" s="68">
        <f t="shared" si="49"/>
        <v>0</v>
      </c>
      <c r="X207" s="68">
        <f t="shared" si="50"/>
        <v>0</v>
      </c>
      <c r="Y207" s="68">
        <f t="shared" si="51"/>
        <v>0</v>
      </c>
      <c r="Z207" s="68">
        <f t="shared" si="52"/>
        <v>0</v>
      </c>
      <c r="AA207" s="68"/>
      <c r="AB207" s="68">
        <v>0</v>
      </c>
      <c r="AC207" s="69">
        <f t="shared" si="53"/>
        <v>0</v>
      </c>
      <c r="AD207" s="70">
        <v>104295000</v>
      </c>
      <c r="AE207" s="63">
        <v>40504</v>
      </c>
      <c r="AF207" s="72"/>
      <c r="AG207" s="63" t="s">
        <v>954</v>
      </c>
      <c r="AH207" s="23" t="s">
        <v>955</v>
      </c>
      <c r="AI207" s="60"/>
      <c r="AJ207" s="124" t="s">
        <v>1608</v>
      </c>
      <c r="AK207" s="121" t="s">
        <v>2418</v>
      </c>
      <c r="AL207" s="107"/>
      <c r="AM207" s="108"/>
      <c r="AN207" s="109"/>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10"/>
      <c r="CO207" s="111"/>
      <c r="CP207" s="110"/>
      <c r="CQ207" s="111"/>
      <c r="CR207" s="110"/>
      <c r="CS207" s="111"/>
      <c r="CT207" s="112">
        <f t="shared" si="54"/>
        <v>0</v>
      </c>
      <c r="CU207" s="113"/>
      <c r="CV207" s="114"/>
      <c r="CW207" s="115"/>
      <c r="CX207" s="116"/>
      <c r="CY207" s="117"/>
      <c r="CZ207" s="116"/>
      <c r="DA207" s="113"/>
      <c r="DB207" s="114"/>
      <c r="DC207" s="64"/>
      <c r="DD207" s="118"/>
    </row>
    <row r="208" spans="1:108" ht="84" outlineLevel="2">
      <c r="A208" s="178">
        <v>40510</v>
      </c>
      <c r="B208" s="164" t="s">
        <v>911</v>
      </c>
      <c r="C208" s="164" t="s">
        <v>1751</v>
      </c>
      <c r="D208" s="166" t="s">
        <v>1262</v>
      </c>
      <c r="E208" s="163"/>
      <c r="F208" s="105"/>
      <c r="G208" s="105"/>
      <c r="H208" s="105">
        <v>1000</v>
      </c>
      <c r="I208" s="105">
        <v>200</v>
      </c>
      <c r="J208" s="105"/>
      <c r="K208" s="105">
        <v>200</v>
      </c>
      <c r="L208" s="105"/>
      <c r="M208" s="105"/>
      <c r="N208" s="105"/>
      <c r="O208" s="105"/>
      <c r="P208" s="105"/>
      <c r="Q208" s="105"/>
      <c r="R208" s="105"/>
      <c r="S208" s="105"/>
      <c r="T208" s="106"/>
      <c r="U208" s="130"/>
      <c r="V208" s="1"/>
      <c r="W208" s="68">
        <f t="shared" si="49"/>
        <v>0</v>
      </c>
      <c r="X208" s="68">
        <f t="shared" si="50"/>
        <v>0</v>
      </c>
      <c r="Y208" s="68">
        <f t="shared" si="51"/>
        <v>0</v>
      </c>
      <c r="Z208" s="68">
        <f t="shared" si="52"/>
        <v>0</v>
      </c>
      <c r="AA208" s="68"/>
      <c r="AB208" s="68">
        <v>0</v>
      </c>
      <c r="AC208" s="69">
        <f t="shared" si="53"/>
        <v>0</v>
      </c>
      <c r="AD208" s="70">
        <v>0</v>
      </c>
      <c r="AE208" s="63">
        <v>40512</v>
      </c>
      <c r="AF208" s="72"/>
      <c r="AG208" s="63" t="s">
        <v>938</v>
      </c>
      <c r="AH208" s="23" t="s">
        <v>939</v>
      </c>
      <c r="AI208" s="60"/>
      <c r="AJ208" s="124" t="s">
        <v>1608</v>
      </c>
      <c r="AK208" s="121" t="s">
        <v>2071</v>
      </c>
      <c r="AL208" s="107"/>
      <c r="AM208" s="108"/>
      <c r="AN208" s="109"/>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c r="CN208" s="110"/>
      <c r="CO208" s="111"/>
      <c r="CP208" s="110"/>
      <c r="CQ208" s="111"/>
      <c r="CR208" s="110"/>
      <c r="CS208" s="111"/>
      <c r="CT208" s="112">
        <f t="shared" si="54"/>
        <v>0</v>
      </c>
      <c r="CU208" s="113"/>
      <c r="CV208" s="114"/>
      <c r="CW208" s="115"/>
      <c r="CX208" s="116"/>
      <c r="CY208" s="117"/>
      <c r="CZ208" s="116"/>
      <c r="DA208" s="113"/>
      <c r="DB208" s="114"/>
      <c r="DC208" s="64"/>
      <c r="DD208" s="118"/>
    </row>
    <row r="209" spans="1:108" ht="24" outlineLevel="2">
      <c r="A209" s="178">
        <v>40513</v>
      </c>
      <c r="B209" s="164" t="s">
        <v>911</v>
      </c>
      <c r="C209" s="164" t="s">
        <v>941</v>
      </c>
      <c r="D209" s="166" t="s">
        <v>1182</v>
      </c>
      <c r="E209" s="163"/>
      <c r="F209" s="105"/>
      <c r="G209" s="105"/>
      <c r="H209" s="105">
        <v>100</v>
      </c>
      <c r="I209" s="105">
        <v>20</v>
      </c>
      <c r="J209" s="105">
        <v>20</v>
      </c>
      <c r="K209" s="105"/>
      <c r="L209" s="105"/>
      <c r="M209" s="105"/>
      <c r="N209" s="105"/>
      <c r="O209" s="105"/>
      <c r="P209" s="105"/>
      <c r="Q209" s="105"/>
      <c r="R209" s="105"/>
      <c r="S209" s="105"/>
      <c r="T209" s="106"/>
      <c r="U209" s="130"/>
      <c r="V209" s="1"/>
      <c r="W209" s="68">
        <f t="shared" si="49"/>
        <v>0</v>
      </c>
      <c r="X209" s="68">
        <f t="shared" si="50"/>
        <v>0</v>
      </c>
      <c r="Y209" s="68">
        <f t="shared" si="51"/>
        <v>0</v>
      </c>
      <c r="Z209" s="68">
        <f t="shared" si="52"/>
        <v>0</v>
      </c>
      <c r="AA209" s="68"/>
      <c r="AB209" s="68">
        <v>0</v>
      </c>
      <c r="AC209" s="69">
        <f t="shared" si="53"/>
        <v>0</v>
      </c>
      <c r="AD209" s="70">
        <v>0</v>
      </c>
      <c r="AE209" s="63"/>
      <c r="AF209" s="72"/>
      <c r="AG209" s="63"/>
      <c r="AH209" s="23"/>
      <c r="AI209" s="60"/>
      <c r="AJ209" s="124"/>
      <c r="AK209" s="121" t="s">
        <v>2198</v>
      </c>
      <c r="AL209" s="107"/>
      <c r="AM209" s="108"/>
      <c r="AN209" s="109"/>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c r="CN209" s="110"/>
      <c r="CO209" s="111"/>
      <c r="CP209" s="110"/>
      <c r="CQ209" s="111"/>
      <c r="CR209" s="110"/>
      <c r="CS209" s="111"/>
      <c r="CT209" s="112">
        <f t="shared" si="54"/>
        <v>0</v>
      </c>
      <c r="CU209" s="113"/>
      <c r="CV209" s="114"/>
      <c r="CW209" s="115"/>
      <c r="CX209" s="116"/>
      <c r="CY209" s="117"/>
      <c r="CZ209" s="116"/>
      <c r="DA209" s="113"/>
      <c r="DB209" s="114"/>
      <c r="DC209" s="64"/>
      <c r="DD209" s="118"/>
    </row>
    <row r="210" spans="1:108" ht="24" outlineLevel="2">
      <c r="A210" s="178">
        <v>40513</v>
      </c>
      <c r="B210" s="164" t="s">
        <v>911</v>
      </c>
      <c r="C210" s="164" t="s">
        <v>909</v>
      </c>
      <c r="D210" s="166" t="s">
        <v>1262</v>
      </c>
      <c r="E210" s="163">
        <v>1</v>
      </c>
      <c r="F210" s="105"/>
      <c r="G210" s="105"/>
      <c r="H210" s="105"/>
      <c r="I210" s="105"/>
      <c r="J210" s="105"/>
      <c r="K210" s="105"/>
      <c r="L210" s="105"/>
      <c r="M210" s="105"/>
      <c r="N210" s="105"/>
      <c r="O210" s="105"/>
      <c r="P210" s="105"/>
      <c r="Q210" s="105"/>
      <c r="R210" s="105"/>
      <c r="S210" s="105"/>
      <c r="T210" s="106"/>
      <c r="U210" s="130"/>
      <c r="V210" s="1"/>
      <c r="W210" s="68">
        <f t="shared" si="49"/>
        <v>0</v>
      </c>
      <c r="X210" s="68">
        <f t="shared" si="50"/>
        <v>0</v>
      </c>
      <c r="Y210" s="68">
        <f t="shared" si="51"/>
        <v>0</v>
      </c>
      <c r="Z210" s="68">
        <f t="shared" si="52"/>
        <v>0</v>
      </c>
      <c r="AA210" s="68"/>
      <c r="AB210" s="68">
        <v>0</v>
      </c>
      <c r="AC210" s="69">
        <f t="shared" si="53"/>
        <v>0</v>
      </c>
      <c r="AD210" s="70">
        <v>0</v>
      </c>
      <c r="AE210" s="63"/>
      <c r="AF210" s="72"/>
      <c r="AG210" s="63"/>
      <c r="AH210" s="23"/>
      <c r="AI210" s="60"/>
      <c r="AJ210" s="124"/>
      <c r="AK210" s="121" t="s">
        <v>2152</v>
      </c>
      <c r="AL210" s="107"/>
      <c r="AM210" s="108"/>
      <c r="AN210" s="109"/>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08"/>
      <c r="CM210" s="108"/>
      <c r="CN210" s="110"/>
      <c r="CO210" s="111"/>
      <c r="CP210" s="110"/>
      <c r="CQ210" s="111"/>
      <c r="CR210" s="110"/>
      <c r="CS210" s="111"/>
      <c r="CT210" s="112">
        <f t="shared" si="54"/>
        <v>0</v>
      </c>
      <c r="CU210" s="113"/>
      <c r="CV210" s="114"/>
      <c r="CW210" s="115"/>
      <c r="CX210" s="116"/>
      <c r="CY210" s="117"/>
      <c r="CZ210" s="116"/>
      <c r="DA210" s="113"/>
      <c r="DB210" s="114"/>
      <c r="DC210" s="64"/>
      <c r="DD210" s="118"/>
    </row>
    <row r="211" spans="1:108" ht="36.75" customHeight="1" outlineLevel="2">
      <c r="A211" s="178">
        <v>40504</v>
      </c>
      <c r="B211" s="164" t="s">
        <v>911</v>
      </c>
      <c r="C211" s="164" t="s">
        <v>2419</v>
      </c>
      <c r="D211" s="166" t="s">
        <v>1262</v>
      </c>
      <c r="E211" s="163"/>
      <c r="F211" s="105"/>
      <c r="G211" s="105"/>
      <c r="H211" s="105">
        <v>1000</v>
      </c>
      <c r="I211" s="105">
        <v>200</v>
      </c>
      <c r="J211" s="105"/>
      <c r="K211" s="105">
        <v>1000</v>
      </c>
      <c r="L211" s="105"/>
      <c r="M211" s="105"/>
      <c r="N211" s="105"/>
      <c r="O211" s="105"/>
      <c r="P211" s="105"/>
      <c r="Q211" s="105"/>
      <c r="R211" s="105"/>
      <c r="S211" s="105"/>
      <c r="T211" s="106"/>
      <c r="U211" s="130"/>
      <c r="V211" s="1"/>
      <c r="W211" s="68">
        <f t="shared" si="49"/>
        <v>0</v>
      </c>
      <c r="X211" s="68">
        <f t="shared" si="50"/>
        <v>0</v>
      </c>
      <c r="Y211" s="68">
        <f t="shared" si="51"/>
        <v>0</v>
      </c>
      <c r="Z211" s="68">
        <f t="shared" si="52"/>
        <v>0</v>
      </c>
      <c r="AA211" s="68"/>
      <c r="AB211" s="68">
        <v>0</v>
      </c>
      <c r="AC211" s="69">
        <f t="shared" si="53"/>
        <v>0</v>
      </c>
      <c r="AD211" s="70">
        <v>0</v>
      </c>
      <c r="AE211" s="63"/>
      <c r="AF211" s="72"/>
      <c r="AG211" s="63"/>
      <c r="AH211" s="23"/>
      <c r="AI211" s="60"/>
      <c r="AJ211" s="124"/>
      <c r="AK211" s="121" t="s">
        <v>2420</v>
      </c>
      <c r="AL211" s="107"/>
      <c r="AM211" s="108"/>
      <c r="AN211" s="109"/>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c r="CN211" s="110"/>
      <c r="CO211" s="111"/>
      <c r="CP211" s="110"/>
      <c r="CQ211" s="111"/>
      <c r="CR211" s="110"/>
      <c r="CS211" s="111"/>
      <c r="CT211" s="112">
        <f t="shared" si="54"/>
        <v>0</v>
      </c>
      <c r="CU211" s="113"/>
      <c r="CV211" s="114"/>
      <c r="CW211" s="115"/>
      <c r="CX211" s="116"/>
      <c r="CY211" s="117"/>
      <c r="CZ211" s="116"/>
      <c r="DA211" s="113"/>
      <c r="DB211" s="114"/>
      <c r="DC211" s="64"/>
      <c r="DD211" s="118"/>
    </row>
    <row r="212" spans="1:108" ht="36.75" customHeight="1" outlineLevel="1">
      <c r="A212" s="178"/>
      <c r="B212" s="192" t="s">
        <v>2440</v>
      </c>
      <c r="C212" s="164"/>
      <c r="D212" s="166"/>
      <c r="E212" s="163">
        <f t="shared" ref="E212:T212" si="55">SUBTOTAL(9,E140:E211)</f>
        <v>6</v>
      </c>
      <c r="F212" s="105">
        <f t="shared" si="55"/>
        <v>7</v>
      </c>
      <c r="G212" s="105">
        <f t="shared" si="55"/>
        <v>2</v>
      </c>
      <c r="H212" s="105">
        <f t="shared" si="55"/>
        <v>75318</v>
      </c>
      <c r="I212" s="105">
        <f t="shared" si="55"/>
        <v>15178</v>
      </c>
      <c r="J212" s="105">
        <f t="shared" si="55"/>
        <v>568</v>
      </c>
      <c r="K212" s="105">
        <f t="shared" si="55"/>
        <v>11621</v>
      </c>
      <c r="L212" s="105">
        <f t="shared" si="55"/>
        <v>0</v>
      </c>
      <c r="M212" s="105">
        <f t="shared" si="55"/>
        <v>0</v>
      </c>
      <c r="N212" s="105">
        <f t="shared" si="55"/>
        <v>0</v>
      </c>
      <c r="O212" s="105">
        <f t="shared" si="55"/>
        <v>0</v>
      </c>
      <c r="P212" s="105">
        <f t="shared" si="55"/>
        <v>0</v>
      </c>
      <c r="Q212" s="105">
        <f t="shared" si="55"/>
        <v>0</v>
      </c>
      <c r="R212" s="105">
        <f t="shared" si="55"/>
        <v>8</v>
      </c>
      <c r="S212" s="105">
        <f t="shared" si="55"/>
        <v>2</v>
      </c>
      <c r="T212" s="106">
        <f t="shared" si="55"/>
        <v>0</v>
      </c>
      <c r="U212" s="130"/>
      <c r="V212" s="1"/>
      <c r="W212" s="68">
        <f t="shared" ref="W212:AD212" si="56">SUBTOTAL(9,W140:W211)</f>
        <v>394781600</v>
      </c>
      <c r="X212" s="68">
        <f t="shared" si="56"/>
        <v>327250000</v>
      </c>
      <c r="Y212" s="68">
        <f t="shared" si="56"/>
        <v>0</v>
      </c>
      <c r="Z212" s="68">
        <f t="shared" si="56"/>
        <v>288156000</v>
      </c>
      <c r="AA212" s="68">
        <f t="shared" si="56"/>
        <v>107880000</v>
      </c>
      <c r="AB212" s="68">
        <f t="shared" si="56"/>
        <v>112224494</v>
      </c>
      <c r="AC212" s="69">
        <f t="shared" si="56"/>
        <v>1230292094</v>
      </c>
      <c r="AD212" s="70">
        <f t="shared" si="56"/>
        <v>940015000</v>
      </c>
      <c r="AE212" s="63"/>
      <c r="AF212" s="72"/>
      <c r="AG212" s="63"/>
      <c r="AH212" s="23"/>
      <c r="AI212" s="60"/>
      <c r="AJ212" s="124"/>
      <c r="AK212" s="121"/>
      <c r="AL212" s="107"/>
      <c r="AM212" s="108"/>
      <c r="AN212" s="109"/>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08"/>
      <c r="CM212" s="108"/>
      <c r="CN212" s="110"/>
      <c r="CO212" s="111"/>
      <c r="CP212" s="110"/>
      <c r="CQ212" s="111"/>
      <c r="CR212" s="110"/>
      <c r="CS212" s="111"/>
      <c r="CT212" s="112"/>
      <c r="CU212" s="113"/>
      <c r="CV212" s="114"/>
      <c r="CW212" s="115"/>
      <c r="CX212" s="116"/>
      <c r="CY212" s="117"/>
      <c r="CZ212" s="116"/>
      <c r="DA212" s="113"/>
      <c r="DB212" s="114"/>
      <c r="DC212" s="64"/>
      <c r="DD212" s="118"/>
    </row>
    <row r="213" spans="1:108" ht="36" outlineLevel="2">
      <c r="A213" s="178">
        <v>40276</v>
      </c>
      <c r="B213" s="82" t="s">
        <v>852</v>
      </c>
      <c r="C213" s="82" t="s">
        <v>957</v>
      </c>
      <c r="D213" s="165" t="s">
        <v>1262</v>
      </c>
      <c r="E213" s="167"/>
      <c r="F213" s="66"/>
      <c r="G213" s="66"/>
      <c r="H213" s="66">
        <v>10</v>
      </c>
      <c r="I213" s="66">
        <v>2</v>
      </c>
      <c r="J213" s="66"/>
      <c r="K213" s="66">
        <v>2</v>
      </c>
      <c r="L213" s="66"/>
      <c r="M213" s="66"/>
      <c r="N213" s="66"/>
      <c r="O213" s="66"/>
      <c r="P213" s="66"/>
      <c r="Q213" s="66"/>
      <c r="R213" s="66"/>
      <c r="S213" s="66"/>
      <c r="T213" s="67"/>
      <c r="U213" s="151" t="s">
        <v>929</v>
      </c>
      <c r="V213" s="1"/>
      <c r="W213" s="68">
        <f t="shared" ref="W213:W244" si="57">CT213</f>
        <v>0</v>
      </c>
      <c r="X213" s="68">
        <f t="shared" ref="X213:X244" si="58">CX213</f>
        <v>0</v>
      </c>
      <c r="Y213" s="68">
        <f t="shared" ref="Y213:Y244" si="59">CZ213+DB213</f>
        <v>0</v>
      </c>
      <c r="Z213" s="68">
        <f t="shared" ref="Z213:Z244" si="60">CV213</f>
        <v>0</v>
      </c>
      <c r="AA213" s="68"/>
      <c r="AB213" s="68">
        <v>0</v>
      </c>
      <c r="AC213" s="69">
        <f t="shared" ref="AC213:AC244" si="61">W213+X213+Y213+Z213+AA213+AB213</f>
        <v>0</v>
      </c>
      <c r="AD213" s="70">
        <v>0</v>
      </c>
      <c r="AE213" s="63">
        <v>40277</v>
      </c>
      <c r="AF213" s="72"/>
      <c r="AG213" s="63" t="s">
        <v>938</v>
      </c>
      <c r="AH213" s="23" t="s">
        <v>939</v>
      </c>
      <c r="AI213" s="60"/>
      <c r="AJ213" s="133" t="s">
        <v>1608</v>
      </c>
      <c r="AK213" s="73" t="s">
        <v>928</v>
      </c>
      <c r="AL213" s="3"/>
      <c r="AM213" s="4"/>
      <c r="AN213" s="5"/>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6"/>
      <c r="CO213" s="7"/>
      <c r="CP213" s="6"/>
      <c r="CQ213" s="7"/>
      <c r="CR213" s="6"/>
      <c r="CS213" s="7"/>
      <c r="CT213" s="8">
        <f t="shared" ref="CT213:CT244" si="62">AM213+AO213+AQ213+AS213+AU213+AW213+AY213+BA213+BC213+BE213+BG213+BI213+BK213+BM213+BO213+BQ213+BS213+BU213+BW213+BY213+CA213+CC213+CE213+CG213+CI213+CK213+CM213+CO213+CQ213+CS213</f>
        <v>0</v>
      </c>
      <c r="CU213" s="9"/>
      <c r="CV213" s="10"/>
      <c r="CW213" s="11"/>
      <c r="CX213" s="12"/>
      <c r="CY213" s="26"/>
      <c r="CZ213" s="12"/>
      <c r="DA213" s="9"/>
      <c r="DB213" s="10"/>
      <c r="DC213" s="64"/>
    </row>
    <row r="214" spans="1:108" outlineLevel="2">
      <c r="A214" s="178">
        <v>40279</v>
      </c>
      <c r="B214" s="82" t="s">
        <v>852</v>
      </c>
      <c r="C214" s="82" t="s">
        <v>957</v>
      </c>
      <c r="D214" s="165" t="s">
        <v>1182</v>
      </c>
      <c r="E214" s="167"/>
      <c r="F214" s="66">
        <v>1</v>
      </c>
      <c r="G214" s="66"/>
      <c r="H214" s="66">
        <v>15</v>
      </c>
      <c r="I214" s="66">
        <v>3</v>
      </c>
      <c r="J214" s="66"/>
      <c r="K214" s="66">
        <v>3</v>
      </c>
      <c r="L214" s="66"/>
      <c r="M214" s="66"/>
      <c r="N214" s="66"/>
      <c r="O214" s="66"/>
      <c r="P214" s="66"/>
      <c r="Q214" s="66"/>
      <c r="R214" s="66"/>
      <c r="S214" s="66"/>
      <c r="T214" s="67"/>
      <c r="U214" s="151"/>
      <c r="V214" s="1"/>
      <c r="W214" s="68">
        <f t="shared" si="57"/>
        <v>0</v>
      </c>
      <c r="X214" s="68">
        <f t="shared" si="58"/>
        <v>0</v>
      </c>
      <c r="Y214" s="68">
        <f t="shared" si="59"/>
        <v>0</v>
      </c>
      <c r="Z214" s="68">
        <f t="shared" si="60"/>
        <v>0</v>
      </c>
      <c r="AA214" s="68"/>
      <c r="AB214" s="68">
        <v>0</v>
      </c>
      <c r="AC214" s="69">
        <f t="shared" si="61"/>
        <v>0</v>
      </c>
      <c r="AD214" s="70">
        <v>0</v>
      </c>
      <c r="AE214" s="63">
        <v>40280</v>
      </c>
      <c r="AF214" s="72"/>
      <c r="AG214" s="63" t="s">
        <v>938</v>
      </c>
      <c r="AH214" s="23" t="s">
        <v>939</v>
      </c>
      <c r="AI214" s="60"/>
      <c r="AJ214" s="133" t="s">
        <v>1608</v>
      </c>
      <c r="AK214" s="73" t="s">
        <v>1892</v>
      </c>
      <c r="AL214" s="3"/>
      <c r="AM214" s="4"/>
      <c r="AN214" s="5"/>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6"/>
      <c r="CO214" s="7"/>
      <c r="CP214" s="6"/>
      <c r="CQ214" s="7"/>
      <c r="CR214" s="6"/>
      <c r="CS214" s="7"/>
      <c r="CT214" s="8">
        <f t="shared" si="62"/>
        <v>0</v>
      </c>
      <c r="CU214" s="9"/>
      <c r="CV214" s="10"/>
      <c r="CW214" s="11"/>
      <c r="CX214" s="12"/>
      <c r="CY214" s="26"/>
      <c r="CZ214" s="12"/>
      <c r="DA214" s="9"/>
      <c r="DB214" s="10"/>
      <c r="DC214" s="64"/>
    </row>
    <row r="215" spans="1:108" ht="24" outlineLevel="2">
      <c r="A215" s="178">
        <v>40280</v>
      </c>
      <c r="B215" s="82" t="s">
        <v>852</v>
      </c>
      <c r="C215" s="82" t="s">
        <v>957</v>
      </c>
      <c r="D215" s="165" t="s">
        <v>1262</v>
      </c>
      <c r="E215" s="167"/>
      <c r="F215" s="66"/>
      <c r="G215" s="66"/>
      <c r="H215" s="66">
        <v>34</v>
      </c>
      <c r="I215" s="66">
        <v>7</v>
      </c>
      <c r="J215" s="66"/>
      <c r="K215" s="66">
        <v>7</v>
      </c>
      <c r="L215" s="66"/>
      <c r="M215" s="66"/>
      <c r="N215" s="66"/>
      <c r="O215" s="66"/>
      <c r="P215" s="66"/>
      <c r="Q215" s="66"/>
      <c r="R215" s="66"/>
      <c r="S215" s="66"/>
      <c r="T215" s="67"/>
      <c r="U215" s="151"/>
      <c r="V215" s="1"/>
      <c r="W215" s="68">
        <f t="shared" si="57"/>
        <v>0</v>
      </c>
      <c r="X215" s="68">
        <f t="shared" si="58"/>
        <v>0</v>
      </c>
      <c r="Y215" s="68">
        <f t="shared" si="59"/>
        <v>0</v>
      </c>
      <c r="Z215" s="68">
        <f t="shared" si="60"/>
        <v>0</v>
      </c>
      <c r="AA215" s="68"/>
      <c r="AB215" s="68">
        <v>0</v>
      </c>
      <c r="AC215" s="69">
        <f t="shared" si="61"/>
        <v>0</v>
      </c>
      <c r="AD215" s="70">
        <v>0</v>
      </c>
      <c r="AE215" s="63">
        <v>40282</v>
      </c>
      <c r="AF215" s="72"/>
      <c r="AG215" s="63" t="s">
        <v>938</v>
      </c>
      <c r="AH215" s="23" t="s">
        <v>939</v>
      </c>
      <c r="AI215" s="60"/>
      <c r="AJ215" s="133" t="s">
        <v>1608</v>
      </c>
      <c r="AK215" s="73" t="s">
        <v>863</v>
      </c>
      <c r="AL215" s="3"/>
      <c r="AM215" s="4"/>
      <c r="AN215" s="5"/>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6"/>
      <c r="CO215" s="7"/>
      <c r="CP215" s="6"/>
      <c r="CQ215" s="7"/>
      <c r="CR215" s="6"/>
      <c r="CS215" s="7"/>
      <c r="CT215" s="8">
        <f t="shared" si="62"/>
        <v>0</v>
      </c>
      <c r="CU215" s="9"/>
      <c r="CV215" s="10"/>
      <c r="CW215" s="11"/>
      <c r="CX215" s="12"/>
      <c r="CY215" s="26"/>
      <c r="CZ215" s="12"/>
      <c r="DA215" s="9"/>
      <c r="DB215" s="10"/>
      <c r="DC215" s="64"/>
    </row>
    <row r="216" spans="1:108" ht="24" outlineLevel="2">
      <c r="A216" s="178">
        <v>40282</v>
      </c>
      <c r="B216" s="82" t="s">
        <v>852</v>
      </c>
      <c r="C216" s="82" t="s">
        <v>957</v>
      </c>
      <c r="D216" s="165" t="s">
        <v>1182</v>
      </c>
      <c r="E216" s="167"/>
      <c r="F216" s="66"/>
      <c r="G216" s="66"/>
      <c r="H216" s="66">
        <v>600</v>
      </c>
      <c r="I216" s="66">
        <v>150</v>
      </c>
      <c r="J216" s="66"/>
      <c r="K216" s="66">
        <v>150</v>
      </c>
      <c r="L216" s="66"/>
      <c r="M216" s="66"/>
      <c r="N216" s="66"/>
      <c r="O216" s="66"/>
      <c r="P216" s="66"/>
      <c r="Q216" s="66"/>
      <c r="R216" s="66"/>
      <c r="S216" s="66"/>
      <c r="T216" s="67"/>
      <c r="U216" s="151"/>
      <c r="V216" s="1"/>
      <c r="W216" s="68">
        <f t="shared" si="57"/>
        <v>0</v>
      </c>
      <c r="X216" s="68">
        <f t="shared" si="58"/>
        <v>0</v>
      </c>
      <c r="Y216" s="68">
        <f t="shared" si="59"/>
        <v>0</v>
      </c>
      <c r="Z216" s="68">
        <f t="shared" si="60"/>
        <v>0</v>
      </c>
      <c r="AA216" s="68"/>
      <c r="AB216" s="68">
        <v>0</v>
      </c>
      <c r="AC216" s="69">
        <f t="shared" si="61"/>
        <v>0</v>
      </c>
      <c r="AD216" s="70">
        <v>0</v>
      </c>
      <c r="AE216" s="63">
        <v>40282</v>
      </c>
      <c r="AF216" s="72"/>
      <c r="AG216" s="63" t="s">
        <v>938</v>
      </c>
      <c r="AH216" s="23" t="s">
        <v>939</v>
      </c>
      <c r="AI216" s="60"/>
      <c r="AJ216" s="133" t="s">
        <v>1608</v>
      </c>
      <c r="AK216" s="73" t="s">
        <v>873</v>
      </c>
      <c r="AL216" s="3"/>
      <c r="AM216" s="4"/>
      <c r="AN216" s="5"/>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6"/>
      <c r="CO216" s="7"/>
      <c r="CP216" s="6"/>
      <c r="CQ216" s="7"/>
      <c r="CR216" s="6"/>
      <c r="CS216" s="7"/>
      <c r="CT216" s="8">
        <f t="shared" si="62"/>
        <v>0</v>
      </c>
      <c r="CU216" s="9"/>
      <c r="CV216" s="10"/>
      <c r="CW216" s="11"/>
      <c r="CX216" s="12"/>
      <c r="CY216" s="26"/>
      <c r="CZ216" s="12"/>
      <c r="DA216" s="9"/>
      <c r="DB216" s="10"/>
      <c r="DC216" s="64"/>
    </row>
    <row r="217" spans="1:108" ht="24" outlineLevel="2">
      <c r="A217" s="178">
        <v>40284</v>
      </c>
      <c r="B217" s="82" t="s">
        <v>852</v>
      </c>
      <c r="C217" s="82" t="s">
        <v>957</v>
      </c>
      <c r="D217" s="165" t="s">
        <v>1182</v>
      </c>
      <c r="E217" s="167"/>
      <c r="F217" s="66"/>
      <c r="G217" s="66"/>
      <c r="H217" s="66">
        <v>4</v>
      </c>
      <c r="I217" s="66">
        <v>1</v>
      </c>
      <c r="J217" s="66"/>
      <c r="K217" s="66">
        <v>1</v>
      </c>
      <c r="L217" s="66"/>
      <c r="M217" s="66"/>
      <c r="N217" s="66"/>
      <c r="O217" s="66"/>
      <c r="P217" s="66"/>
      <c r="Q217" s="66"/>
      <c r="R217" s="66"/>
      <c r="S217" s="66"/>
      <c r="T217" s="67"/>
      <c r="U217" s="151"/>
      <c r="V217" s="1"/>
      <c r="W217" s="68">
        <f t="shared" si="57"/>
        <v>0</v>
      </c>
      <c r="X217" s="68">
        <f t="shared" si="58"/>
        <v>0</v>
      </c>
      <c r="Y217" s="68">
        <f t="shared" si="59"/>
        <v>0</v>
      </c>
      <c r="Z217" s="68">
        <f t="shared" si="60"/>
        <v>0</v>
      </c>
      <c r="AA217" s="68"/>
      <c r="AB217" s="68">
        <v>0</v>
      </c>
      <c r="AC217" s="69">
        <f t="shared" si="61"/>
        <v>0</v>
      </c>
      <c r="AD217" s="70">
        <v>0</v>
      </c>
      <c r="AE217" s="63">
        <v>40284</v>
      </c>
      <c r="AF217" s="72"/>
      <c r="AG217" s="63" t="s">
        <v>938</v>
      </c>
      <c r="AH217" s="23" t="s">
        <v>939</v>
      </c>
      <c r="AI217" s="60"/>
      <c r="AJ217" s="133" t="s">
        <v>1608</v>
      </c>
      <c r="AK217" s="73" t="s">
        <v>1903</v>
      </c>
      <c r="AL217" s="3"/>
      <c r="AM217" s="4"/>
      <c r="AN217" s="5"/>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6"/>
      <c r="CO217" s="7"/>
      <c r="CP217" s="6"/>
      <c r="CQ217" s="7"/>
      <c r="CR217" s="6"/>
      <c r="CS217" s="7"/>
      <c r="CT217" s="8">
        <f t="shared" si="62"/>
        <v>0</v>
      </c>
      <c r="CU217" s="9"/>
      <c r="CV217" s="10"/>
      <c r="CW217" s="11"/>
      <c r="CX217" s="12"/>
      <c r="CY217" s="26"/>
      <c r="CZ217" s="12"/>
      <c r="DA217" s="9"/>
      <c r="DB217" s="10"/>
      <c r="DC217" s="64"/>
    </row>
    <row r="218" spans="1:108" ht="36" outlineLevel="2">
      <c r="A218" s="178">
        <v>40285</v>
      </c>
      <c r="B218" s="82" t="s">
        <v>852</v>
      </c>
      <c r="C218" s="82" t="s">
        <v>957</v>
      </c>
      <c r="D218" s="165" t="s">
        <v>1182</v>
      </c>
      <c r="E218" s="167"/>
      <c r="F218" s="66"/>
      <c r="G218" s="66"/>
      <c r="H218" s="66">
        <v>50</v>
      </c>
      <c r="I218" s="66">
        <v>10</v>
      </c>
      <c r="J218" s="66"/>
      <c r="K218" s="66"/>
      <c r="L218" s="66"/>
      <c r="M218" s="66"/>
      <c r="N218" s="66"/>
      <c r="O218" s="66"/>
      <c r="P218" s="66"/>
      <c r="Q218" s="66"/>
      <c r="R218" s="66"/>
      <c r="S218" s="66"/>
      <c r="T218" s="67"/>
      <c r="U218" s="151"/>
      <c r="V218" s="1"/>
      <c r="W218" s="68">
        <f t="shared" si="57"/>
        <v>0</v>
      </c>
      <c r="X218" s="68">
        <f t="shared" si="58"/>
        <v>0</v>
      </c>
      <c r="Y218" s="68">
        <f t="shared" si="59"/>
        <v>0</v>
      </c>
      <c r="Z218" s="68">
        <f t="shared" si="60"/>
        <v>0</v>
      </c>
      <c r="AA218" s="68"/>
      <c r="AB218" s="68">
        <v>0</v>
      </c>
      <c r="AC218" s="69">
        <f t="shared" si="61"/>
        <v>0</v>
      </c>
      <c r="AD218" s="70">
        <v>0</v>
      </c>
      <c r="AE218" s="63">
        <v>40287</v>
      </c>
      <c r="AF218" s="72"/>
      <c r="AG218" s="63" t="s">
        <v>938</v>
      </c>
      <c r="AH218" s="23" t="s">
        <v>939</v>
      </c>
      <c r="AI218" s="60"/>
      <c r="AJ218" s="133" t="s">
        <v>1608</v>
      </c>
      <c r="AK218" s="73" t="s">
        <v>1856</v>
      </c>
      <c r="AL218" s="3"/>
      <c r="AM218" s="4"/>
      <c r="AN218" s="5"/>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6"/>
      <c r="CO218" s="7"/>
      <c r="CP218" s="6"/>
      <c r="CQ218" s="7"/>
      <c r="CR218" s="6"/>
      <c r="CS218" s="7"/>
      <c r="CT218" s="8">
        <f t="shared" si="62"/>
        <v>0</v>
      </c>
      <c r="CU218" s="9"/>
      <c r="CV218" s="10"/>
      <c r="CW218" s="11"/>
      <c r="CX218" s="12"/>
      <c r="CY218" s="26"/>
      <c r="CZ218" s="12"/>
      <c r="DA218" s="9"/>
      <c r="DB218" s="10"/>
      <c r="DC218" s="64"/>
    </row>
    <row r="219" spans="1:108" ht="24" outlineLevel="2">
      <c r="A219" s="178">
        <v>40286</v>
      </c>
      <c r="B219" s="82" t="s">
        <v>852</v>
      </c>
      <c r="C219" s="82" t="s">
        <v>957</v>
      </c>
      <c r="D219" s="165" t="s">
        <v>435</v>
      </c>
      <c r="E219" s="167"/>
      <c r="F219" s="66"/>
      <c r="G219" s="66"/>
      <c r="H219" s="66">
        <v>4</v>
      </c>
      <c r="I219" s="66">
        <v>1</v>
      </c>
      <c r="J219" s="66"/>
      <c r="K219" s="66">
        <v>1</v>
      </c>
      <c r="L219" s="66"/>
      <c r="M219" s="66"/>
      <c r="N219" s="66"/>
      <c r="O219" s="66"/>
      <c r="P219" s="66"/>
      <c r="Q219" s="66"/>
      <c r="R219" s="66"/>
      <c r="S219" s="66"/>
      <c r="T219" s="67"/>
      <c r="U219" s="151"/>
      <c r="V219" s="1"/>
      <c r="W219" s="68">
        <f t="shared" si="57"/>
        <v>0</v>
      </c>
      <c r="X219" s="68">
        <f t="shared" si="58"/>
        <v>0</v>
      </c>
      <c r="Y219" s="68">
        <f t="shared" si="59"/>
        <v>0</v>
      </c>
      <c r="Z219" s="68">
        <f t="shared" si="60"/>
        <v>0</v>
      </c>
      <c r="AA219" s="68"/>
      <c r="AB219" s="68">
        <v>0</v>
      </c>
      <c r="AC219" s="69">
        <f t="shared" si="61"/>
        <v>0</v>
      </c>
      <c r="AD219" s="70">
        <v>0</v>
      </c>
      <c r="AE219" s="63">
        <v>40286</v>
      </c>
      <c r="AF219" s="72"/>
      <c r="AG219" s="63" t="s">
        <v>938</v>
      </c>
      <c r="AH219" s="23" t="s">
        <v>939</v>
      </c>
      <c r="AI219" s="60"/>
      <c r="AJ219" s="133" t="s">
        <v>1608</v>
      </c>
      <c r="AK219" s="73" t="s">
        <v>1854</v>
      </c>
      <c r="AL219" s="3"/>
      <c r="AM219" s="4"/>
      <c r="AN219" s="5"/>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6"/>
      <c r="CO219" s="7"/>
      <c r="CP219" s="6"/>
      <c r="CQ219" s="7"/>
      <c r="CR219" s="6"/>
      <c r="CS219" s="7"/>
      <c r="CT219" s="8">
        <f t="shared" si="62"/>
        <v>0</v>
      </c>
      <c r="CU219" s="9"/>
      <c r="CV219" s="10"/>
      <c r="CW219" s="11"/>
      <c r="CX219" s="12"/>
      <c r="CY219" s="26"/>
      <c r="CZ219" s="12"/>
      <c r="DA219" s="9"/>
      <c r="DB219" s="10"/>
      <c r="DC219" s="64"/>
    </row>
    <row r="220" spans="1:108" outlineLevel="2">
      <c r="A220" s="178">
        <v>40286</v>
      </c>
      <c r="B220" s="82" t="s">
        <v>852</v>
      </c>
      <c r="C220" s="82" t="s">
        <v>957</v>
      </c>
      <c r="D220" s="165" t="s">
        <v>1182</v>
      </c>
      <c r="E220" s="167"/>
      <c r="F220" s="66"/>
      <c r="G220" s="66"/>
      <c r="H220" s="66">
        <v>10</v>
      </c>
      <c r="I220" s="66">
        <v>2</v>
      </c>
      <c r="J220" s="66"/>
      <c r="K220" s="66">
        <v>2</v>
      </c>
      <c r="L220" s="66"/>
      <c r="M220" s="66"/>
      <c r="N220" s="66"/>
      <c r="O220" s="66"/>
      <c r="P220" s="66"/>
      <c r="Q220" s="66"/>
      <c r="R220" s="66"/>
      <c r="S220" s="66"/>
      <c r="T220" s="67"/>
      <c r="U220" s="151"/>
      <c r="V220" s="1"/>
      <c r="W220" s="68">
        <f t="shared" si="57"/>
        <v>0</v>
      </c>
      <c r="X220" s="68">
        <f t="shared" si="58"/>
        <v>0</v>
      </c>
      <c r="Y220" s="68">
        <f t="shared" si="59"/>
        <v>0</v>
      </c>
      <c r="Z220" s="68">
        <f t="shared" si="60"/>
        <v>0</v>
      </c>
      <c r="AA220" s="68"/>
      <c r="AB220" s="68">
        <v>0</v>
      </c>
      <c r="AC220" s="69">
        <f t="shared" si="61"/>
        <v>0</v>
      </c>
      <c r="AD220" s="70">
        <v>0</v>
      </c>
      <c r="AE220" s="63">
        <v>40287</v>
      </c>
      <c r="AF220" s="72"/>
      <c r="AG220" s="63" t="s">
        <v>938</v>
      </c>
      <c r="AH220" s="23" t="s">
        <v>939</v>
      </c>
      <c r="AI220" s="60"/>
      <c r="AJ220" s="133" t="s">
        <v>1608</v>
      </c>
      <c r="AK220" s="73" t="s">
        <v>1855</v>
      </c>
      <c r="AL220" s="3"/>
      <c r="AM220" s="4"/>
      <c r="AN220" s="5"/>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6"/>
      <c r="CO220" s="7"/>
      <c r="CP220" s="6"/>
      <c r="CQ220" s="7"/>
      <c r="CR220" s="6"/>
      <c r="CS220" s="7"/>
      <c r="CT220" s="8">
        <f t="shared" si="62"/>
        <v>0</v>
      </c>
      <c r="CU220" s="9"/>
      <c r="CV220" s="10"/>
      <c r="CW220" s="11"/>
      <c r="CX220" s="12"/>
      <c r="CY220" s="26"/>
      <c r="CZ220" s="12"/>
      <c r="DA220" s="9"/>
      <c r="DB220" s="10"/>
      <c r="DC220" s="64"/>
    </row>
    <row r="221" spans="1:108" ht="36" outlineLevel="2">
      <c r="A221" s="178">
        <v>40295</v>
      </c>
      <c r="B221" s="82" t="s">
        <v>852</v>
      </c>
      <c r="C221" s="82" t="s">
        <v>957</v>
      </c>
      <c r="D221" s="165" t="s">
        <v>1182</v>
      </c>
      <c r="E221" s="167"/>
      <c r="F221" s="66"/>
      <c r="G221" s="66"/>
      <c r="H221" s="66">
        <v>11</v>
      </c>
      <c r="I221" s="66">
        <v>1</v>
      </c>
      <c r="J221" s="66"/>
      <c r="K221" s="66">
        <v>1</v>
      </c>
      <c r="L221" s="66"/>
      <c r="M221" s="66"/>
      <c r="N221" s="66"/>
      <c r="O221" s="66"/>
      <c r="P221" s="66"/>
      <c r="Q221" s="66"/>
      <c r="R221" s="66"/>
      <c r="S221" s="66"/>
      <c r="T221" s="67"/>
      <c r="U221" s="151"/>
      <c r="V221" s="1"/>
      <c r="W221" s="68">
        <f t="shared" si="57"/>
        <v>0</v>
      </c>
      <c r="X221" s="68">
        <f t="shared" si="58"/>
        <v>0</v>
      </c>
      <c r="Y221" s="68">
        <f t="shared" si="59"/>
        <v>0</v>
      </c>
      <c r="Z221" s="68">
        <f t="shared" si="60"/>
        <v>0</v>
      </c>
      <c r="AA221" s="68"/>
      <c r="AB221" s="68">
        <v>0</v>
      </c>
      <c r="AC221" s="69">
        <f t="shared" si="61"/>
        <v>0</v>
      </c>
      <c r="AD221" s="70">
        <v>0</v>
      </c>
      <c r="AE221" s="63">
        <v>40297</v>
      </c>
      <c r="AF221" s="72"/>
      <c r="AG221" s="63" t="s">
        <v>938</v>
      </c>
      <c r="AH221" s="23" t="s">
        <v>939</v>
      </c>
      <c r="AI221" s="60"/>
      <c r="AJ221" s="133" t="s">
        <v>1608</v>
      </c>
      <c r="AK221" s="73" t="s">
        <v>1039</v>
      </c>
      <c r="AL221" s="3"/>
      <c r="AM221" s="4"/>
      <c r="AN221" s="5"/>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6"/>
      <c r="CO221" s="7"/>
      <c r="CP221" s="6"/>
      <c r="CQ221" s="7"/>
      <c r="CR221" s="6"/>
      <c r="CS221" s="7"/>
      <c r="CT221" s="8">
        <f t="shared" si="62"/>
        <v>0</v>
      </c>
      <c r="CU221" s="9"/>
      <c r="CV221" s="10"/>
      <c r="CW221" s="11"/>
      <c r="CX221" s="12"/>
      <c r="CY221" s="26"/>
      <c r="CZ221" s="12"/>
      <c r="DA221" s="9"/>
      <c r="DB221" s="10"/>
      <c r="DC221" s="64"/>
    </row>
    <row r="222" spans="1:108" ht="36" outlineLevel="2">
      <c r="A222" s="178">
        <v>40297</v>
      </c>
      <c r="B222" s="82" t="s">
        <v>852</v>
      </c>
      <c r="C222" s="82" t="s">
        <v>957</v>
      </c>
      <c r="D222" s="165" t="s">
        <v>1182</v>
      </c>
      <c r="E222" s="167">
        <v>1</v>
      </c>
      <c r="F222" s="66">
        <v>8</v>
      </c>
      <c r="G222" s="66"/>
      <c r="H222" s="66">
        <v>328</v>
      </c>
      <c r="I222" s="66">
        <v>75</v>
      </c>
      <c r="J222" s="66">
        <v>2</v>
      </c>
      <c r="K222" s="66">
        <v>39</v>
      </c>
      <c r="L222" s="66"/>
      <c r="M222" s="66"/>
      <c r="N222" s="66"/>
      <c r="O222" s="66"/>
      <c r="P222" s="66"/>
      <c r="Q222" s="66"/>
      <c r="R222" s="66"/>
      <c r="S222" s="66"/>
      <c r="T222" s="67"/>
      <c r="U222" s="151"/>
      <c r="V222" s="1"/>
      <c r="W222" s="68">
        <f t="shared" si="57"/>
        <v>0</v>
      </c>
      <c r="X222" s="68">
        <f t="shared" si="58"/>
        <v>0</v>
      </c>
      <c r="Y222" s="68">
        <f t="shared" si="59"/>
        <v>0</v>
      </c>
      <c r="Z222" s="68">
        <f t="shared" si="60"/>
        <v>0</v>
      </c>
      <c r="AA222" s="68"/>
      <c r="AB222" s="68">
        <v>0</v>
      </c>
      <c r="AC222" s="69">
        <f t="shared" si="61"/>
        <v>0</v>
      </c>
      <c r="AD222" s="70">
        <v>0</v>
      </c>
      <c r="AE222" s="63">
        <v>40297</v>
      </c>
      <c r="AF222" s="72"/>
      <c r="AG222" s="63" t="s">
        <v>938</v>
      </c>
      <c r="AH222" s="23" t="s">
        <v>939</v>
      </c>
      <c r="AI222" s="60"/>
      <c r="AJ222" s="133" t="s">
        <v>1608</v>
      </c>
      <c r="AK222" s="73" t="s">
        <v>1754</v>
      </c>
      <c r="AL222" s="3"/>
      <c r="AM222" s="4"/>
      <c r="AN222" s="5"/>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6"/>
      <c r="CO222" s="7"/>
      <c r="CP222" s="6"/>
      <c r="CQ222" s="7"/>
      <c r="CR222" s="6"/>
      <c r="CS222" s="7"/>
      <c r="CT222" s="8">
        <f t="shared" si="62"/>
        <v>0</v>
      </c>
      <c r="CU222" s="9"/>
      <c r="CV222" s="10"/>
      <c r="CW222" s="11"/>
      <c r="CX222" s="12"/>
      <c r="CY222" s="26"/>
      <c r="CZ222" s="12"/>
      <c r="DA222" s="9"/>
      <c r="DB222" s="10"/>
      <c r="DC222" s="64"/>
    </row>
    <row r="223" spans="1:108" ht="48" outlineLevel="2">
      <c r="A223" s="178">
        <v>40300</v>
      </c>
      <c r="B223" s="82" t="s">
        <v>852</v>
      </c>
      <c r="C223" s="82" t="s">
        <v>957</v>
      </c>
      <c r="D223" s="165" t="s">
        <v>1182</v>
      </c>
      <c r="E223" s="167"/>
      <c r="F223" s="66"/>
      <c r="G223" s="66"/>
      <c r="H223" s="66">
        <v>20</v>
      </c>
      <c r="I223" s="66">
        <v>4</v>
      </c>
      <c r="J223" s="66"/>
      <c r="K223" s="66">
        <v>4</v>
      </c>
      <c r="L223" s="66"/>
      <c r="M223" s="66"/>
      <c r="N223" s="66"/>
      <c r="O223" s="66"/>
      <c r="P223" s="66"/>
      <c r="Q223" s="66"/>
      <c r="R223" s="66"/>
      <c r="S223" s="66"/>
      <c r="T223" s="67"/>
      <c r="U223" s="151"/>
      <c r="V223" s="1"/>
      <c r="W223" s="68">
        <f t="shared" si="57"/>
        <v>0</v>
      </c>
      <c r="X223" s="68">
        <f t="shared" si="58"/>
        <v>0</v>
      </c>
      <c r="Y223" s="68">
        <f t="shared" si="59"/>
        <v>0</v>
      </c>
      <c r="Z223" s="68">
        <f t="shared" si="60"/>
        <v>0</v>
      </c>
      <c r="AA223" s="68"/>
      <c r="AB223" s="68">
        <v>0</v>
      </c>
      <c r="AC223" s="69">
        <f t="shared" si="61"/>
        <v>0</v>
      </c>
      <c r="AD223" s="70">
        <v>0</v>
      </c>
      <c r="AE223" s="63">
        <v>40301</v>
      </c>
      <c r="AF223" s="72"/>
      <c r="AG223" s="63" t="s">
        <v>938</v>
      </c>
      <c r="AH223" s="23" t="s">
        <v>939</v>
      </c>
      <c r="AI223" s="60"/>
      <c r="AJ223" s="133" t="s">
        <v>1608</v>
      </c>
      <c r="AK223" s="73" t="s">
        <v>1526</v>
      </c>
      <c r="AL223" s="3"/>
      <c r="AM223" s="4"/>
      <c r="AN223" s="5"/>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6"/>
      <c r="CO223" s="7"/>
      <c r="CP223" s="6"/>
      <c r="CQ223" s="7"/>
      <c r="CR223" s="6"/>
      <c r="CS223" s="7"/>
      <c r="CT223" s="8">
        <f t="shared" si="62"/>
        <v>0</v>
      </c>
      <c r="CU223" s="9"/>
      <c r="CV223" s="10"/>
      <c r="CW223" s="11"/>
      <c r="CX223" s="12"/>
      <c r="CY223" s="26"/>
      <c r="CZ223" s="12"/>
      <c r="DA223" s="9"/>
      <c r="DB223" s="10"/>
      <c r="DC223" s="64"/>
    </row>
    <row r="224" spans="1:108" ht="36" outlineLevel="2">
      <c r="A224" s="178">
        <v>40301</v>
      </c>
      <c r="B224" s="82" t="s">
        <v>852</v>
      </c>
      <c r="C224" s="82" t="s">
        <v>957</v>
      </c>
      <c r="D224" s="165" t="s">
        <v>1262</v>
      </c>
      <c r="E224" s="167"/>
      <c r="F224" s="66"/>
      <c r="G224" s="66"/>
      <c r="H224" s="66">
        <v>50</v>
      </c>
      <c r="I224" s="66">
        <v>10</v>
      </c>
      <c r="J224" s="66"/>
      <c r="K224" s="66">
        <v>10</v>
      </c>
      <c r="L224" s="66"/>
      <c r="M224" s="66"/>
      <c r="N224" s="66"/>
      <c r="O224" s="66"/>
      <c r="P224" s="66"/>
      <c r="Q224" s="66"/>
      <c r="R224" s="66"/>
      <c r="S224" s="66"/>
      <c r="T224" s="67"/>
      <c r="U224" s="151"/>
      <c r="V224" s="1"/>
      <c r="W224" s="68">
        <f t="shared" si="57"/>
        <v>0</v>
      </c>
      <c r="X224" s="68">
        <f t="shared" si="58"/>
        <v>0</v>
      </c>
      <c r="Y224" s="68">
        <f t="shared" si="59"/>
        <v>0</v>
      </c>
      <c r="Z224" s="68">
        <f t="shared" si="60"/>
        <v>0</v>
      </c>
      <c r="AA224" s="68"/>
      <c r="AB224" s="68">
        <v>0</v>
      </c>
      <c r="AC224" s="69">
        <f t="shared" si="61"/>
        <v>0</v>
      </c>
      <c r="AD224" s="70">
        <v>0</v>
      </c>
      <c r="AE224" s="63">
        <v>40301</v>
      </c>
      <c r="AF224" s="72"/>
      <c r="AG224" s="63" t="s">
        <v>938</v>
      </c>
      <c r="AH224" s="23" t="s">
        <v>939</v>
      </c>
      <c r="AI224" s="60"/>
      <c r="AJ224" s="133" t="s">
        <v>1608</v>
      </c>
      <c r="AK224" s="73" t="s">
        <v>1656</v>
      </c>
      <c r="AL224" s="3"/>
      <c r="AM224" s="4"/>
      <c r="AN224" s="5"/>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6"/>
      <c r="CO224" s="7"/>
      <c r="CP224" s="6"/>
      <c r="CQ224" s="7"/>
      <c r="CR224" s="6"/>
      <c r="CS224" s="7"/>
      <c r="CT224" s="8">
        <f t="shared" si="62"/>
        <v>0</v>
      </c>
      <c r="CU224" s="9"/>
      <c r="CV224" s="10"/>
      <c r="CW224" s="11"/>
      <c r="CX224" s="12"/>
      <c r="CY224" s="26"/>
      <c r="CZ224" s="12"/>
      <c r="DA224" s="9"/>
      <c r="DB224" s="10"/>
      <c r="DC224" s="64"/>
      <c r="DD224" s="22">
        <v>1029</v>
      </c>
    </row>
    <row r="225" spans="1:108" ht="48" outlineLevel="2">
      <c r="A225" s="178">
        <v>40303</v>
      </c>
      <c r="B225" s="82" t="s">
        <v>852</v>
      </c>
      <c r="C225" s="82" t="s">
        <v>957</v>
      </c>
      <c r="D225" s="165" t="s">
        <v>1182</v>
      </c>
      <c r="E225" s="167"/>
      <c r="F225" s="66"/>
      <c r="G225" s="66"/>
      <c r="H225" s="66">
        <v>200</v>
      </c>
      <c r="I225" s="66">
        <v>23</v>
      </c>
      <c r="J225" s="66"/>
      <c r="K225" s="66">
        <v>23</v>
      </c>
      <c r="L225" s="66"/>
      <c r="M225" s="66"/>
      <c r="N225" s="66"/>
      <c r="O225" s="66"/>
      <c r="P225" s="66"/>
      <c r="Q225" s="66"/>
      <c r="R225" s="66"/>
      <c r="S225" s="66"/>
      <c r="T225" s="67"/>
      <c r="U225" s="151"/>
      <c r="V225" s="1"/>
      <c r="W225" s="68">
        <f t="shared" si="57"/>
        <v>0</v>
      </c>
      <c r="X225" s="68">
        <f t="shared" si="58"/>
        <v>0</v>
      </c>
      <c r="Y225" s="68">
        <f t="shared" si="59"/>
        <v>0</v>
      </c>
      <c r="Z225" s="68">
        <f t="shared" si="60"/>
        <v>0</v>
      </c>
      <c r="AA225" s="68"/>
      <c r="AB225" s="68">
        <v>0</v>
      </c>
      <c r="AC225" s="69">
        <f t="shared" si="61"/>
        <v>0</v>
      </c>
      <c r="AD225" s="70">
        <v>0</v>
      </c>
      <c r="AE225" s="63">
        <v>40304</v>
      </c>
      <c r="AF225" s="72"/>
      <c r="AG225" s="63" t="s">
        <v>938</v>
      </c>
      <c r="AH225" s="23" t="s">
        <v>939</v>
      </c>
      <c r="AI225" s="60"/>
      <c r="AJ225" s="133" t="s">
        <v>1608</v>
      </c>
      <c r="AK225" s="73" t="s">
        <v>1595</v>
      </c>
      <c r="AL225" s="3"/>
      <c r="AM225" s="4"/>
      <c r="AN225" s="5"/>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6"/>
      <c r="CO225" s="7"/>
      <c r="CP225" s="6"/>
      <c r="CQ225" s="7"/>
      <c r="CR225" s="6"/>
      <c r="CS225" s="7"/>
      <c r="CT225" s="8">
        <f t="shared" si="62"/>
        <v>0</v>
      </c>
      <c r="CU225" s="9"/>
      <c r="CV225" s="10"/>
      <c r="CW225" s="11"/>
      <c r="CX225" s="12"/>
      <c r="CY225" s="26"/>
      <c r="CZ225" s="12"/>
      <c r="DA225" s="9"/>
      <c r="DB225" s="10"/>
      <c r="DC225" s="64"/>
    </row>
    <row r="226" spans="1:108" ht="36" outlineLevel="2">
      <c r="A226" s="178">
        <v>40303</v>
      </c>
      <c r="B226" s="82" t="s">
        <v>852</v>
      </c>
      <c r="C226" s="82" t="s">
        <v>957</v>
      </c>
      <c r="D226" s="165" t="s">
        <v>1182</v>
      </c>
      <c r="E226" s="167"/>
      <c r="F226" s="66"/>
      <c r="G226" s="66"/>
      <c r="H226" s="66">
        <v>3350</v>
      </c>
      <c r="I226" s="66">
        <v>670</v>
      </c>
      <c r="J226" s="66"/>
      <c r="K226" s="66"/>
      <c r="L226" s="66"/>
      <c r="M226" s="66"/>
      <c r="N226" s="66"/>
      <c r="O226" s="66"/>
      <c r="P226" s="66"/>
      <c r="Q226" s="66"/>
      <c r="R226" s="66"/>
      <c r="S226" s="66"/>
      <c r="T226" s="67"/>
      <c r="U226" s="151"/>
      <c r="V226" s="1"/>
      <c r="W226" s="68">
        <f t="shared" si="57"/>
        <v>0</v>
      </c>
      <c r="X226" s="68">
        <f t="shared" si="58"/>
        <v>0</v>
      </c>
      <c r="Y226" s="68">
        <f t="shared" si="59"/>
        <v>0</v>
      </c>
      <c r="Z226" s="68">
        <f t="shared" si="60"/>
        <v>0</v>
      </c>
      <c r="AA226" s="68"/>
      <c r="AB226" s="68">
        <v>0</v>
      </c>
      <c r="AC226" s="69">
        <f t="shared" si="61"/>
        <v>0</v>
      </c>
      <c r="AD226" s="70">
        <v>0</v>
      </c>
      <c r="AE226" s="63">
        <v>40304</v>
      </c>
      <c r="AF226" s="72"/>
      <c r="AG226" s="63" t="s">
        <v>938</v>
      </c>
      <c r="AH226" s="23" t="s">
        <v>939</v>
      </c>
      <c r="AI226" s="60"/>
      <c r="AJ226" s="133" t="s">
        <v>1608</v>
      </c>
      <c r="AK226" s="73" t="s">
        <v>1596</v>
      </c>
      <c r="AL226" s="3"/>
      <c r="AM226" s="4"/>
      <c r="AN226" s="5"/>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6"/>
      <c r="CO226" s="7"/>
      <c r="CP226" s="6"/>
      <c r="CQ226" s="7"/>
      <c r="CR226" s="6"/>
      <c r="CS226" s="7"/>
      <c r="CT226" s="8">
        <f t="shared" si="62"/>
        <v>0</v>
      </c>
      <c r="CU226" s="9"/>
      <c r="CV226" s="10"/>
      <c r="CW226" s="11"/>
      <c r="CX226" s="12"/>
      <c r="CY226" s="26"/>
      <c r="CZ226" s="12"/>
      <c r="DA226" s="9"/>
      <c r="DB226" s="10"/>
      <c r="DC226" s="64"/>
    </row>
    <row r="227" spans="1:108" ht="24" outlineLevel="2">
      <c r="A227" s="178">
        <v>40304</v>
      </c>
      <c r="B227" s="82" t="s">
        <v>852</v>
      </c>
      <c r="C227" s="82" t="s">
        <v>957</v>
      </c>
      <c r="D227" s="165" t="s">
        <v>1182</v>
      </c>
      <c r="E227" s="167"/>
      <c r="F227" s="66"/>
      <c r="G227" s="66"/>
      <c r="H227" s="66">
        <v>20</v>
      </c>
      <c r="I227" s="66">
        <v>4</v>
      </c>
      <c r="J227" s="66"/>
      <c r="K227" s="66">
        <v>4</v>
      </c>
      <c r="L227" s="66"/>
      <c r="M227" s="66"/>
      <c r="N227" s="66"/>
      <c r="O227" s="66"/>
      <c r="P227" s="66"/>
      <c r="Q227" s="66"/>
      <c r="R227" s="66"/>
      <c r="S227" s="66"/>
      <c r="T227" s="67"/>
      <c r="U227" s="151"/>
      <c r="V227" s="1"/>
      <c r="W227" s="68">
        <f t="shared" si="57"/>
        <v>0</v>
      </c>
      <c r="X227" s="68">
        <f t="shared" si="58"/>
        <v>0</v>
      </c>
      <c r="Y227" s="68">
        <f t="shared" si="59"/>
        <v>0</v>
      </c>
      <c r="Z227" s="68">
        <f t="shared" si="60"/>
        <v>0</v>
      </c>
      <c r="AA227" s="68"/>
      <c r="AB227" s="68">
        <v>0</v>
      </c>
      <c r="AC227" s="69">
        <f t="shared" si="61"/>
        <v>0</v>
      </c>
      <c r="AD227" s="70">
        <v>0</v>
      </c>
      <c r="AE227" s="63">
        <v>40306</v>
      </c>
      <c r="AF227" s="72"/>
      <c r="AG227" s="63" t="s">
        <v>938</v>
      </c>
      <c r="AH227" s="23" t="s">
        <v>939</v>
      </c>
      <c r="AI227" s="60"/>
      <c r="AJ227" s="133" t="s">
        <v>1608</v>
      </c>
      <c r="AK227" s="73" t="s">
        <v>1252</v>
      </c>
      <c r="AL227" s="3"/>
      <c r="AM227" s="4"/>
      <c r="AN227" s="5"/>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6"/>
      <c r="CO227" s="7"/>
      <c r="CP227" s="6"/>
      <c r="CQ227" s="7"/>
      <c r="CR227" s="6"/>
      <c r="CS227" s="7"/>
      <c r="CT227" s="8">
        <f t="shared" si="62"/>
        <v>0</v>
      </c>
      <c r="CU227" s="9"/>
      <c r="CV227" s="10"/>
      <c r="CW227" s="11"/>
      <c r="CX227" s="12"/>
      <c r="CY227" s="26"/>
      <c r="CZ227" s="12"/>
      <c r="DA227" s="9"/>
      <c r="DB227" s="10"/>
      <c r="DC227" s="64"/>
    </row>
    <row r="228" spans="1:108" ht="24" outlineLevel="2">
      <c r="A228" s="178">
        <v>40304</v>
      </c>
      <c r="B228" s="82" t="s">
        <v>852</v>
      </c>
      <c r="C228" s="82" t="s">
        <v>957</v>
      </c>
      <c r="D228" s="165" t="s">
        <v>1182</v>
      </c>
      <c r="E228" s="167"/>
      <c r="F228" s="66"/>
      <c r="G228" s="66"/>
      <c r="H228" s="66"/>
      <c r="I228" s="66"/>
      <c r="J228" s="66"/>
      <c r="K228" s="66"/>
      <c r="L228" s="66"/>
      <c r="M228" s="66"/>
      <c r="N228" s="66"/>
      <c r="O228" s="66"/>
      <c r="P228" s="66"/>
      <c r="Q228" s="66"/>
      <c r="R228" s="66"/>
      <c r="S228" s="66"/>
      <c r="T228" s="67"/>
      <c r="U228" s="151"/>
      <c r="V228" s="1"/>
      <c r="W228" s="68">
        <f t="shared" si="57"/>
        <v>0</v>
      </c>
      <c r="X228" s="68">
        <f t="shared" si="58"/>
        <v>0</v>
      </c>
      <c r="Y228" s="68">
        <f t="shared" si="59"/>
        <v>0</v>
      </c>
      <c r="Z228" s="68">
        <f t="shared" si="60"/>
        <v>0</v>
      </c>
      <c r="AA228" s="68"/>
      <c r="AB228" s="68">
        <v>0</v>
      </c>
      <c r="AC228" s="69">
        <f t="shared" si="61"/>
        <v>0</v>
      </c>
      <c r="AD228" s="70">
        <v>0</v>
      </c>
      <c r="AE228" s="63">
        <v>40306</v>
      </c>
      <c r="AF228" s="72"/>
      <c r="AG228" s="63" t="s">
        <v>938</v>
      </c>
      <c r="AH228" s="23" t="s">
        <v>939</v>
      </c>
      <c r="AI228" s="60"/>
      <c r="AJ228" s="133" t="s">
        <v>1608</v>
      </c>
      <c r="AK228" s="73" t="s">
        <v>1849</v>
      </c>
      <c r="AL228" s="3"/>
      <c r="AM228" s="4"/>
      <c r="AN228" s="5"/>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6"/>
      <c r="CO228" s="7"/>
      <c r="CP228" s="6"/>
      <c r="CQ228" s="7"/>
      <c r="CR228" s="6"/>
      <c r="CS228" s="7"/>
      <c r="CT228" s="8">
        <f t="shared" si="62"/>
        <v>0</v>
      </c>
      <c r="CU228" s="9"/>
      <c r="CV228" s="10"/>
      <c r="CW228" s="11"/>
      <c r="CX228" s="12"/>
      <c r="CY228" s="26"/>
      <c r="CZ228" s="12"/>
      <c r="DA228" s="9"/>
      <c r="DB228" s="10"/>
      <c r="DC228" s="64"/>
    </row>
    <row r="229" spans="1:108" ht="24" outlineLevel="2">
      <c r="A229" s="178">
        <v>40321</v>
      </c>
      <c r="B229" s="82" t="s">
        <v>852</v>
      </c>
      <c r="C229" s="82" t="s">
        <v>957</v>
      </c>
      <c r="D229" s="165" t="s">
        <v>1262</v>
      </c>
      <c r="E229" s="167"/>
      <c r="F229" s="66"/>
      <c r="G229" s="66"/>
      <c r="H229" s="66">
        <v>50</v>
      </c>
      <c r="I229" s="66">
        <v>10</v>
      </c>
      <c r="J229" s="66"/>
      <c r="K229" s="66">
        <v>10</v>
      </c>
      <c r="L229" s="66"/>
      <c r="M229" s="66"/>
      <c r="N229" s="66"/>
      <c r="O229" s="66"/>
      <c r="P229" s="66"/>
      <c r="Q229" s="66"/>
      <c r="R229" s="66"/>
      <c r="S229" s="66"/>
      <c r="T229" s="67"/>
      <c r="U229" s="151"/>
      <c r="V229" s="1"/>
      <c r="W229" s="68">
        <f t="shared" si="57"/>
        <v>0</v>
      </c>
      <c r="X229" s="68">
        <f t="shared" si="58"/>
        <v>0</v>
      </c>
      <c r="Y229" s="68">
        <f t="shared" si="59"/>
        <v>0</v>
      </c>
      <c r="Z229" s="68">
        <f t="shared" si="60"/>
        <v>0</v>
      </c>
      <c r="AA229" s="68"/>
      <c r="AB229" s="68">
        <v>0</v>
      </c>
      <c r="AC229" s="69">
        <f t="shared" si="61"/>
        <v>0</v>
      </c>
      <c r="AD229" s="70">
        <v>0</v>
      </c>
      <c r="AE229" s="63">
        <v>40322</v>
      </c>
      <c r="AF229" s="72"/>
      <c r="AG229" s="63" t="s">
        <v>938</v>
      </c>
      <c r="AH229" s="23" t="s">
        <v>939</v>
      </c>
      <c r="AI229" s="60"/>
      <c r="AJ229" s="133" t="s">
        <v>1608</v>
      </c>
      <c r="AK229" s="73" t="s">
        <v>1889</v>
      </c>
      <c r="AL229" s="3"/>
      <c r="AM229" s="4"/>
      <c r="AN229" s="5"/>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6"/>
      <c r="CO229" s="7"/>
      <c r="CP229" s="6"/>
      <c r="CQ229" s="7"/>
      <c r="CR229" s="6"/>
      <c r="CS229" s="7"/>
      <c r="CT229" s="8">
        <f t="shared" si="62"/>
        <v>0</v>
      </c>
      <c r="CU229" s="9"/>
      <c r="CV229" s="10"/>
      <c r="CW229" s="11"/>
      <c r="CX229" s="12"/>
      <c r="CY229" s="26"/>
      <c r="CZ229" s="12"/>
      <c r="DA229" s="9"/>
      <c r="DB229" s="10"/>
      <c r="DC229" s="64"/>
    </row>
    <row r="230" spans="1:108" outlineLevel="2">
      <c r="A230" s="178">
        <v>40321</v>
      </c>
      <c r="B230" s="82" t="s">
        <v>852</v>
      </c>
      <c r="C230" s="82" t="s">
        <v>957</v>
      </c>
      <c r="D230" s="165" t="s">
        <v>1182</v>
      </c>
      <c r="E230" s="167"/>
      <c r="F230" s="66"/>
      <c r="G230" s="66"/>
      <c r="H230" s="66">
        <v>57</v>
      </c>
      <c r="I230" s="66">
        <v>17</v>
      </c>
      <c r="J230" s="66"/>
      <c r="K230" s="66">
        <v>18</v>
      </c>
      <c r="L230" s="66"/>
      <c r="M230" s="66"/>
      <c r="N230" s="66"/>
      <c r="O230" s="66"/>
      <c r="P230" s="66"/>
      <c r="Q230" s="66"/>
      <c r="R230" s="66"/>
      <c r="S230" s="66"/>
      <c r="T230" s="67"/>
      <c r="U230" s="151"/>
      <c r="V230" s="1"/>
      <c r="W230" s="68">
        <f t="shared" si="57"/>
        <v>0</v>
      </c>
      <c r="X230" s="68">
        <f t="shared" si="58"/>
        <v>0</v>
      </c>
      <c r="Y230" s="68">
        <f t="shared" si="59"/>
        <v>0</v>
      </c>
      <c r="Z230" s="68">
        <f t="shared" si="60"/>
        <v>0</v>
      </c>
      <c r="AA230" s="68"/>
      <c r="AB230" s="68">
        <v>0</v>
      </c>
      <c r="AC230" s="69">
        <f t="shared" si="61"/>
        <v>0</v>
      </c>
      <c r="AD230" s="70">
        <v>0</v>
      </c>
      <c r="AE230" s="63">
        <v>40322</v>
      </c>
      <c r="AF230" s="72"/>
      <c r="AG230" s="63" t="s">
        <v>938</v>
      </c>
      <c r="AH230" s="23" t="s">
        <v>939</v>
      </c>
      <c r="AI230" s="60"/>
      <c r="AJ230" s="133" t="s">
        <v>1608</v>
      </c>
      <c r="AK230" s="73" t="s">
        <v>1105</v>
      </c>
      <c r="AL230" s="3"/>
      <c r="AM230" s="4"/>
      <c r="AN230" s="5"/>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6"/>
      <c r="CO230" s="7"/>
      <c r="CP230" s="6"/>
      <c r="CQ230" s="7"/>
      <c r="CR230" s="6"/>
      <c r="CS230" s="7"/>
      <c r="CT230" s="8">
        <f t="shared" si="62"/>
        <v>0</v>
      </c>
      <c r="CU230" s="9"/>
      <c r="CV230" s="10"/>
      <c r="CW230" s="11"/>
      <c r="CX230" s="12"/>
      <c r="CY230" s="26"/>
      <c r="CZ230" s="12"/>
      <c r="DA230" s="9"/>
      <c r="DB230" s="10"/>
      <c r="DC230" s="64"/>
    </row>
    <row r="231" spans="1:108" ht="24" outlineLevel="2">
      <c r="A231" s="178">
        <v>40322</v>
      </c>
      <c r="B231" s="82" t="s">
        <v>852</v>
      </c>
      <c r="C231" s="82" t="s">
        <v>957</v>
      </c>
      <c r="D231" s="165" t="s">
        <v>944</v>
      </c>
      <c r="E231" s="167">
        <v>1</v>
      </c>
      <c r="F231" s="66">
        <v>4</v>
      </c>
      <c r="G231" s="66"/>
      <c r="H231" s="66"/>
      <c r="I231" s="66"/>
      <c r="J231" s="66"/>
      <c r="K231" s="66"/>
      <c r="L231" s="66"/>
      <c r="M231" s="66"/>
      <c r="N231" s="66"/>
      <c r="O231" s="66"/>
      <c r="P231" s="66"/>
      <c r="Q231" s="66"/>
      <c r="R231" s="66"/>
      <c r="S231" s="66"/>
      <c r="T231" s="67"/>
      <c r="U231" s="151"/>
      <c r="V231" s="1"/>
      <c r="W231" s="68">
        <f t="shared" si="57"/>
        <v>0</v>
      </c>
      <c r="X231" s="68">
        <f t="shared" si="58"/>
        <v>0</v>
      </c>
      <c r="Y231" s="68">
        <f t="shared" si="59"/>
        <v>0</v>
      </c>
      <c r="Z231" s="68">
        <f t="shared" si="60"/>
        <v>0</v>
      </c>
      <c r="AA231" s="68"/>
      <c r="AB231" s="68">
        <v>0</v>
      </c>
      <c r="AC231" s="69">
        <f t="shared" si="61"/>
        <v>0</v>
      </c>
      <c r="AD231" s="70">
        <v>0</v>
      </c>
      <c r="AE231" s="63">
        <v>40323</v>
      </c>
      <c r="AF231" s="72"/>
      <c r="AG231" s="63" t="s">
        <v>938</v>
      </c>
      <c r="AH231" s="23" t="s">
        <v>939</v>
      </c>
      <c r="AI231" s="60"/>
      <c r="AJ231" s="133" t="s">
        <v>1608</v>
      </c>
      <c r="AK231" s="73" t="s">
        <v>430</v>
      </c>
      <c r="AL231" s="3"/>
      <c r="AM231" s="4"/>
      <c r="AN231" s="5"/>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6"/>
      <c r="CO231" s="7"/>
      <c r="CP231" s="6"/>
      <c r="CQ231" s="7"/>
      <c r="CR231" s="6"/>
      <c r="CS231" s="7"/>
      <c r="CT231" s="8">
        <f t="shared" si="62"/>
        <v>0</v>
      </c>
      <c r="CU231" s="9"/>
      <c r="CV231" s="10"/>
      <c r="CW231" s="11"/>
      <c r="CX231" s="12"/>
      <c r="CY231" s="26"/>
      <c r="CZ231" s="12"/>
      <c r="DA231" s="9"/>
      <c r="DB231" s="10"/>
      <c r="DC231" s="64"/>
    </row>
    <row r="232" spans="1:108" ht="60" outlineLevel="2">
      <c r="A232" s="178">
        <v>40322</v>
      </c>
      <c r="B232" s="82" t="s">
        <v>852</v>
      </c>
      <c r="C232" s="82" t="s">
        <v>957</v>
      </c>
      <c r="D232" s="165" t="s">
        <v>1262</v>
      </c>
      <c r="E232" s="167"/>
      <c r="F232" s="66"/>
      <c r="G232" s="66"/>
      <c r="H232" s="66">
        <v>613</v>
      </c>
      <c r="I232" s="66">
        <v>123</v>
      </c>
      <c r="J232" s="66"/>
      <c r="K232" s="66">
        <v>123</v>
      </c>
      <c r="L232" s="66"/>
      <c r="M232" s="66"/>
      <c r="N232" s="66"/>
      <c r="O232" s="66"/>
      <c r="P232" s="66"/>
      <c r="Q232" s="66"/>
      <c r="R232" s="66"/>
      <c r="S232" s="66"/>
      <c r="T232" s="67"/>
      <c r="U232" s="151"/>
      <c r="V232" s="1"/>
      <c r="W232" s="68">
        <f t="shared" si="57"/>
        <v>0</v>
      </c>
      <c r="X232" s="68">
        <f t="shared" si="58"/>
        <v>0</v>
      </c>
      <c r="Y232" s="68">
        <f t="shared" si="59"/>
        <v>0</v>
      </c>
      <c r="Z232" s="68">
        <f t="shared" si="60"/>
        <v>0</v>
      </c>
      <c r="AA232" s="68"/>
      <c r="AB232" s="68">
        <v>0</v>
      </c>
      <c r="AC232" s="69">
        <f t="shared" si="61"/>
        <v>0</v>
      </c>
      <c r="AD232" s="70">
        <v>0</v>
      </c>
      <c r="AE232" s="63">
        <v>40323</v>
      </c>
      <c r="AF232" s="72"/>
      <c r="AG232" s="63" t="s">
        <v>938</v>
      </c>
      <c r="AH232" s="23" t="s">
        <v>939</v>
      </c>
      <c r="AI232" s="60"/>
      <c r="AJ232" s="133" t="s">
        <v>1608</v>
      </c>
      <c r="AK232" s="73" t="s">
        <v>1570</v>
      </c>
      <c r="AL232" s="3"/>
      <c r="AM232" s="4"/>
      <c r="AN232" s="5"/>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6"/>
      <c r="CO232" s="7"/>
      <c r="CP232" s="6"/>
      <c r="CQ232" s="7"/>
      <c r="CR232" s="6"/>
      <c r="CS232" s="7"/>
      <c r="CT232" s="8">
        <f t="shared" si="62"/>
        <v>0</v>
      </c>
      <c r="CU232" s="9"/>
      <c r="CV232" s="10"/>
      <c r="CW232" s="11"/>
      <c r="CX232" s="12"/>
      <c r="CY232" s="26"/>
      <c r="CZ232" s="12"/>
      <c r="DA232" s="9"/>
      <c r="DB232" s="10"/>
      <c r="DC232" s="64"/>
    </row>
    <row r="233" spans="1:108" outlineLevel="2">
      <c r="A233" s="178">
        <v>40324</v>
      </c>
      <c r="B233" s="82" t="s">
        <v>852</v>
      </c>
      <c r="C233" s="82" t="s">
        <v>957</v>
      </c>
      <c r="D233" s="165" t="s">
        <v>1182</v>
      </c>
      <c r="E233" s="167"/>
      <c r="F233" s="66"/>
      <c r="G233" s="66"/>
      <c r="H233" s="66">
        <v>5</v>
      </c>
      <c r="I233" s="66">
        <v>1</v>
      </c>
      <c r="J233" s="66"/>
      <c r="K233" s="66">
        <v>1</v>
      </c>
      <c r="L233" s="66"/>
      <c r="M233" s="66"/>
      <c r="N233" s="66"/>
      <c r="O233" s="66"/>
      <c r="P233" s="66"/>
      <c r="Q233" s="66"/>
      <c r="R233" s="66"/>
      <c r="S233" s="66"/>
      <c r="T233" s="67"/>
      <c r="U233" s="151"/>
      <c r="V233" s="1"/>
      <c r="W233" s="68">
        <f t="shared" si="57"/>
        <v>0</v>
      </c>
      <c r="X233" s="68">
        <f t="shared" si="58"/>
        <v>0</v>
      </c>
      <c r="Y233" s="68">
        <f t="shared" si="59"/>
        <v>0</v>
      </c>
      <c r="Z233" s="68">
        <f t="shared" si="60"/>
        <v>0</v>
      </c>
      <c r="AA233" s="68"/>
      <c r="AB233" s="68">
        <v>0</v>
      </c>
      <c r="AC233" s="69">
        <f t="shared" si="61"/>
        <v>0</v>
      </c>
      <c r="AD233" s="70">
        <v>0</v>
      </c>
      <c r="AE233" s="63">
        <v>40326</v>
      </c>
      <c r="AF233" s="72"/>
      <c r="AG233" s="63" t="s">
        <v>938</v>
      </c>
      <c r="AH233" s="23" t="s">
        <v>939</v>
      </c>
      <c r="AI233" s="60"/>
      <c r="AJ233" s="133" t="s">
        <v>1608</v>
      </c>
      <c r="AK233" s="73"/>
      <c r="AL233" s="3"/>
      <c r="AM233" s="4"/>
      <c r="AN233" s="5"/>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6"/>
      <c r="CO233" s="7"/>
      <c r="CP233" s="6"/>
      <c r="CQ233" s="7"/>
      <c r="CR233" s="6"/>
      <c r="CS233" s="7"/>
      <c r="CT233" s="8">
        <f t="shared" si="62"/>
        <v>0</v>
      </c>
      <c r="CU233" s="9"/>
      <c r="CV233" s="10"/>
      <c r="CW233" s="11"/>
      <c r="CX233" s="12"/>
      <c r="CY233" s="26"/>
      <c r="CZ233" s="12"/>
      <c r="DA233" s="9"/>
      <c r="DB233" s="10"/>
      <c r="DC233" s="64"/>
    </row>
    <row r="234" spans="1:108" outlineLevel="2">
      <c r="A234" s="178">
        <v>40325</v>
      </c>
      <c r="B234" s="82" t="s">
        <v>852</v>
      </c>
      <c r="C234" s="82" t="s">
        <v>957</v>
      </c>
      <c r="D234" s="165" t="s">
        <v>1182</v>
      </c>
      <c r="E234" s="167"/>
      <c r="F234" s="66"/>
      <c r="G234" s="66"/>
      <c r="H234" s="66">
        <v>150</v>
      </c>
      <c r="I234" s="66">
        <v>30</v>
      </c>
      <c r="J234" s="66"/>
      <c r="K234" s="66">
        <v>30</v>
      </c>
      <c r="L234" s="66"/>
      <c r="M234" s="66"/>
      <c r="N234" s="66"/>
      <c r="O234" s="66"/>
      <c r="P234" s="66"/>
      <c r="Q234" s="66"/>
      <c r="R234" s="66"/>
      <c r="S234" s="66"/>
      <c r="T234" s="67"/>
      <c r="U234" s="151"/>
      <c r="V234" s="1"/>
      <c r="W234" s="68">
        <f t="shared" si="57"/>
        <v>0</v>
      </c>
      <c r="X234" s="68">
        <f t="shared" si="58"/>
        <v>0</v>
      </c>
      <c r="Y234" s="68">
        <f t="shared" si="59"/>
        <v>0</v>
      </c>
      <c r="Z234" s="68">
        <f t="shared" si="60"/>
        <v>0</v>
      </c>
      <c r="AA234" s="68"/>
      <c r="AB234" s="68">
        <v>0</v>
      </c>
      <c r="AC234" s="69">
        <f t="shared" si="61"/>
        <v>0</v>
      </c>
      <c r="AD234" s="70">
        <v>0</v>
      </c>
      <c r="AE234" s="63">
        <v>40326</v>
      </c>
      <c r="AF234" s="72"/>
      <c r="AG234" s="63" t="s">
        <v>938</v>
      </c>
      <c r="AH234" s="23" t="s">
        <v>939</v>
      </c>
      <c r="AI234" s="60"/>
      <c r="AJ234" s="133" t="s">
        <v>1608</v>
      </c>
      <c r="AK234" s="73" t="s">
        <v>1090</v>
      </c>
      <c r="AL234" s="3"/>
      <c r="AM234" s="4"/>
      <c r="AN234" s="5"/>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6"/>
      <c r="CO234" s="7"/>
      <c r="CP234" s="6"/>
      <c r="CQ234" s="7"/>
      <c r="CR234" s="6"/>
      <c r="CS234" s="7"/>
      <c r="CT234" s="8">
        <f t="shared" si="62"/>
        <v>0</v>
      </c>
      <c r="CU234" s="9"/>
      <c r="CV234" s="10"/>
      <c r="CW234" s="11"/>
      <c r="CX234" s="12"/>
      <c r="CY234" s="26"/>
      <c r="CZ234" s="12"/>
      <c r="DA234" s="9"/>
      <c r="DB234" s="10"/>
      <c r="DC234" s="64"/>
    </row>
    <row r="235" spans="1:108" outlineLevel="2">
      <c r="A235" s="178">
        <v>40326</v>
      </c>
      <c r="B235" s="82" t="s">
        <v>852</v>
      </c>
      <c r="C235" s="82" t="s">
        <v>957</v>
      </c>
      <c r="D235" s="165" t="s">
        <v>1182</v>
      </c>
      <c r="E235" s="167"/>
      <c r="F235" s="66"/>
      <c r="G235" s="66"/>
      <c r="H235" s="66">
        <v>88</v>
      </c>
      <c r="I235" s="66">
        <v>9</v>
      </c>
      <c r="J235" s="66"/>
      <c r="K235" s="66">
        <v>9</v>
      </c>
      <c r="L235" s="66"/>
      <c r="M235" s="66"/>
      <c r="N235" s="66"/>
      <c r="O235" s="66"/>
      <c r="P235" s="66"/>
      <c r="Q235" s="66"/>
      <c r="R235" s="66"/>
      <c r="S235" s="66"/>
      <c r="T235" s="67"/>
      <c r="U235" s="151"/>
      <c r="V235" s="1"/>
      <c r="W235" s="68">
        <f t="shared" si="57"/>
        <v>0</v>
      </c>
      <c r="X235" s="68">
        <f t="shared" si="58"/>
        <v>0</v>
      </c>
      <c r="Y235" s="68">
        <f t="shared" si="59"/>
        <v>0</v>
      </c>
      <c r="Z235" s="68">
        <f t="shared" si="60"/>
        <v>0</v>
      </c>
      <c r="AA235" s="68"/>
      <c r="AB235" s="68">
        <v>0</v>
      </c>
      <c r="AC235" s="69">
        <f t="shared" si="61"/>
        <v>0</v>
      </c>
      <c r="AD235" s="70">
        <v>0</v>
      </c>
      <c r="AE235" s="63">
        <v>40329</v>
      </c>
      <c r="AF235" s="72"/>
      <c r="AG235" s="63" t="s">
        <v>938</v>
      </c>
      <c r="AH235" s="23" t="s">
        <v>939</v>
      </c>
      <c r="AI235" s="60"/>
      <c r="AJ235" s="133" t="s">
        <v>1608</v>
      </c>
      <c r="AK235" s="73" t="s">
        <v>1577</v>
      </c>
      <c r="AL235" s="3"/>
      <c r="AM235" s="4"/>
      <c r="AN235" s="5"/>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6"/>
      <c r="CO235" s="7"/>
      <c r="CP235" s="6"/>
      <c r="CQ235" s="7"/>
      <c r="CR235" s="6"/>
      <c r="CS235" s="7"/>
      <c r="CT235" s="8">
        <f t="shared" si="62"/>
        <v>0</v>
      </c>
      <c r="CU235" s="9"/>
      <c r="CV235" s="10"/>
      <c r="CW235" s="11"/>
      <c r="CX235" s="12"/>
      <c r="CY235" s="26"/>
      <c r="CZ235" s="12"/>
      <c r="DA235" s="9"/>
      <c r="DB235" s="10"/>
      <c r="DC235" s="64"/>
    </row>
    <row r="236" spans="1:108" ht="24" outlineLevel="2">
      <c r="A236" s="178">
        <v>40342</v>
      </c>
      <c r="B236" s="82" t="s">
        <v>852</v>
      </c>
      <c r="C236" s="82" t="s">
        <v>957</v>
      </c>
      <c r="D236" s="165" t="s">
        <v>435</v>
      </c>
      <c r="E236" s="167">
        <v>1</v>
      </c>
      <c r="F236" s="66">
        <v>3</v>
      </c>
      <c r="G236" s="66"/>
      <c r="H236" s="66">
        <v>307</v>
      </c>
      <c r="I236" s="66">
        <v>75</v>
      </c>
      <c r="J236" s="66"/>
      <c r="K236" s="66">
        <v>75</v>
      </c>
      <c r="L236" s="66"/>
      <c r="M236" s="66"/>
      <c r="N236" s="66"/>
      <c r="O236" s="66"/>
      <c r="P236" s="66"/>
      <c r="Q236" s="66"/>
      <c r="R236" s="66"/>
      <c r="S236" s="66"/>
      <c r="T236" s="67"/>
      <c r="U236" s="151"/>
      <c r="V236" s="1"/>
      <c r="W236" s="68">
        <f t="shared" si="57"/>
        <v>0</v>
      </c>
      <c r="X236" s="68">
        <f t="shared" si="58"/>
        <v>0</v>
      </c>
      <c r="Y236" s="68">
        <f t="shared" si="59"/>
        <v>0</v>
      </c>
      <c r="Z236" s="68">
        <f t="shared" si="60"/>
        <v>0</v>
      </c>
      <c r="AA236" s="68"/>
      <c r="AB236" s="68">
        <v>0</v>
      </c>
      <c r="AC236" s="69">
        <f t="shared" si="61"/>
        <v>0</v>
      </c>
      <c r="AD236" s="70">
        <v>0</v>
      </c>
      <c r="AE236" s="63">
        <v>40344</v>
      </c>
      <c r="AF236" s="72"/>
      <c r="AG236" s="63" t="s">
        <v>938</v>
      </c>
      <c r="AH236" s="23" t="s">
        <v>939</v>
      </c>
      <c r="AI236" s="60"/>
      <c r="AJ236" s="133" t="s">
        <v>1608</v>
      </c>
      <c r="AK236" s="73" t="s">
        <v>1046</v>
      </c>
      <c r="AL236" s="3"/>
      <c r="AM236" s="4"/>
      <c r="AN236" s="5"/>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6"/>
      <c r="CO236" s="7"/>
      <c r="CP236" s="6"/>
      <c r="CQ236" s="7"/>
      <c r="CR236" s="6"/>
      <c r="CS236" s="7"/>
      <c r="CT236" s="8">
        <f t="shared" si="62"/>
        <v>0</v>
      </c>
      <c r="CU236" s="9"/>
      <c r="CV236" s="10"/>
      <c r="CW236" s="11"/>
      <c r="CX236" s="12"/>
      <c r="CY236" s="26"/>
      <c r="CZ236" s="12"/>
      <c r="DA236" s="9"/>
      <c r="DB236" s="10"/>
      <c r="DC236" s="64"/>
    </row>
    <row r="237" spans="1:108" outlineLevel="2">
      <c r="A237" s="178">
        <v>40349</v>
      </c>
      <c r="B237" s="82" t="s">
        <v>852</v>
      </c>
      <c r="C237" s="82" t="s">
        <v>957</v>
      </c>
      <c r="D237" s="165" t="s">
        <v>1182</v>
      </c>
      <c r="E237" s="167"/>
      <c r="F237" s="66"/>
      <c r="G237" s="66"/>
      <c r="H237" s="66">
        <v>11</v>
      </c>
      <c r="I237" s="66">
        <v>1</v>
      </c>
      <c r="J237" s="66"/>
      <c r="K237" s="66">
        <v>1</v>
      </c>
      <c r="L237" s="66"/>
      <c r="M237" s="66"/>
      <c r="N237" s="66"/>
      <c r="O237" s="66"/>
      <c r="P237" s="66"/>
      <c r="Q237" s="66"/>
      <c r="R237" s="66"/>
      <c r="S237" s="66"/>
      <c r="T237" s="67"/>
      <c r="U237" s="151"/>
      <c r="V237" s="1"/>
      <c r="W237" s="68">
        <f t="shared" si="57"/>
        <v>0</v>
      </c>
      <c r="X237" s="68">
        <f t="shared" si="58"/>
        <v>0</v>
      </c>
      <c r="Y237" s="68">
        <f t="shared" si="59"/>
        <v>0</v>
      </c>
      <c r="Z237" s="68">
        <f t="shared" si="60"/>
        <v>0</v>
      </c>
      <c r="AA237" s="68"/>
      <c r="AB237" s="68">
        <v>0</v>
      </c>
      <c r="AC237" s="69">
        <f t="shared" si="61"/>
        <v>0</v>
      </c>
      <c r="AD237" s="70">
        <v>0</v>
      </c>
      <c r="AE237" s="63">
        <v>40352</v>
      </c>
      <c r="AF237" s="72"/>
      <c r="AG237" s="63" t="s">
        <v>938</v>
      </c>
      <c r="AH237" s="23" t="s">
        <v>939</v>
      </c>
      <c r="AI237" s="60"/>
      <c r="AJ237" s="133" t="s">
        <v>1608</v>
      </c>
      <c r="AK237" s="73" t="s">
        <v>1917</v>
      </c>
      <c r="AL237" s="3"/>
      <c r="AM237" s="4"/>
      <c r="AN237" s="5"/>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6"/>
      <c r="CO237" s="7"/>
      <c r="CP237" s="6"/>
      <c r="CQ237" s="7"/>
      <c r="CR237" s="6"/>
      <c r="CS237" s="7"/>
      <c r="CT237" s="8">
        <f t="shared" si="62"/>
        <v>0</v>
      </c>
      <c r="CU237" s="9"/>
      <c r="CV237" s="10"/>
      <c r="CW237" s="11"/>
      <c r="CX237" s="12"/>
      <c r="CY237" s="26"/>
      <c r="CZ237" s="12"/>
      <c r="DA237" s="9"/>
      <c r="DB237" s="10"/>
      <c r="DC237" s="64"/>
    </row>
    <row r="238" spans="1:108" outlineLevel="2">
      <c r="A238" s="178">
        <v>40358</v>
      </c>
      <c r="B238" s="82" t="s">
        <v>852</v>
      </c>
      <c r="C238" s="82" t="s">
        <v>957</v>
      </c>
      <c r="D238" s="165" t="s">
        <v>1182</v>
      </c>
      <c r="E238" s="167"/>
      <c r="F238" s="66"/>
      <c r="G238" s="66"/>
      <c r="H238" s="66">
        <v>17</v>
      </c>
      <c r="I238" s="66">
        <v>2</v>
      </c>
      <c r="J238" s="66"/>
      <c r="K238" s="66">
        <v>2</v>
      </c>
      <c r="L238" s="66"/>
      <c r="M238" s="66"/>
      <c r="N238" s="66"/>
      <c r="O238" s="66"/>
      <c r="P238" s="66"/>
      <c r="Q238" s="66"/>
      <c r="R238" s="66"/>
      <c r="S238" s="66"/>
      <c r="T238" s="67"/>
      <c r="U238" s="151"/>
      <c r="V238" s="1"/>
      <c r="W238" s="68">
        <f t="shared" si="57"/>
        <v>0</v>
      </c>
      <c r="X238" s="68">
        <f t="shared" si="58"/>
        <v>0</v>
      </c>
      <c r="Y238" s="68">
        <f t="shared" si="59"/>
        <v>0</v>
      </c>
      <c r="Z238" s="68">
        <f t="shared" si="60"/>
        <v>0</v>
      </c>
      <c r="AA238" s="68"/>
      <c r="AB238" s="68">
        <v>0</v>
      </c>
      <c r="AC238" s="69">
        <f t="shared" si="61"/>
        <v>0</v>
      </c>
      <c r="AD238" s="70">
        <v>0</v>
      </c>
      <c r="AE238" s="63">
        <v>40360</v>
      </c>
      <c r="AF238" s="72"/>
      <c r="AG238" s="63" t="s">
        <v>938</v>
      </c>
      <c r="AH238" s="23" t="s">
        <v>939</v>
      </c>
      <c r="AI238" s="60"/>
      <c r="AJ238" s="133" t="s">
        <v>1608</v>
      </c>
      <c r="AK238" s="73" t="s">
        <v>1776</v>
      </c>
      <c r="AL238" s="3"/>
      <c r="AM238" s="4"/>
      <c r="AN238" s="5"/>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6"/>
      <c r="CO238" s="7"/>
      <c r="CP238" s="6"/>
      <c r="CQ238" s="7"/>
      <c r="CR238" s="6"/>
      <c r="CS238" s="7"/>
      <c r="CT238" s="8">
        <f t="shared" si="62"/>
        <v>0</v>
      </c>
      <c r="CU238" s="9"/>
      <c r="CV238" s="10"/>
      <c r="CW238" s="11"/>
      <c r="CX238" s="12"/>
      <c r="CY238" s="26"/>
      <c r="CZ238" s="12"/>
      <c r="DA238" s="9"/>
      <c r="DB238" s="10"/>
      <c r="DC238" s="64"/>
    </row>
    <row r="239" spans="1:108" ht="36" outlineLevel="2">
      <c r="A239" s="178">
        <v>40366</v>
      </c>
      <c r="B239" s="82" t="s">
        <v>852</v>
      </c>
      <c r="C239" s="82" t="s">
        <v>957</v>
      </c>
      <c r="D239" s="165" t="s">
        <v>1262</v>
      </c>
      <c r="E239" s="167"/>
      <c r="F239" s="66"/>
      <c r="G239" s="66"/>
      <c r="H239" s="66">
        <v>400</v>
      </c>
      <c r="I239" s="66">
        <v>80</v>
      </c>
      <c r="J239" s="66"/>
      <c r="K239" s="66">
        <v>80</v>
      </c>
      <c r="L239" s="66"/>
      <c r="M239" s="66"/>
      <c r="N239" s="66"/>
      <c r="O239" s="66"/>
      <c r="P239" s="66"/>
      <c r="Q239" s="66"/>
      <c r="R239" s="66"/>
      <c r="S239" s="66"/>
      <c r="T239" s="67"/>
      <c r="U239" s="151"/>
      <c r="V239" s="1"/>
      <c r="W239" s="68">
        <f t="shared" si="57"/>
        <v>0</v>
      </c>
      <c r="X239" s="68">
        <f t="shared" si="58"/>
        <v>0</v>
      </c>
      <c r="Y239" s="68">
        <f t="shared" si="59"/>
        <v>0</v>
      </c>
      <c r="Z239" s="68">
        <f t="shared" si="60"/>
        <v>0</v>
      </c>
      <c r="AA239" s="68"/>
      <c r="AB239" s="68">
        <v>0</v>
      </c>
      <c r="AC239" s="69">
        <f t="shared" si="61"/>
        <v>0</v>
      </c>
      <c r="AD239" s="70">
        <v>0</v>
      </c>
      <c r="AE239" s="63">
        <v>40367</v>
      </c>
      <c r="AF239" s="72"/>
      <c r="AG239" s="63" t="s">
        <v>938</v>
      </c>
      <c r="AH239" s="23" t="s">
        <v>939</v>
      </c>
      <c r="AI239" s="60"/>
      <c r="AJ239" s="133" t="s">
        <v>1608</v>
      </c>
      <c r="AK239" s="73" t="s">
        <v>1887</v>
      </c>
      <c r="AL239" s="3"/>
      <c r="AM239" s="4"/>
      <c r="AN239" s="5"/>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6"/>
      <c r="CO239" s="7"/>
      <c r="CP239" s="6"/>
      <c r="CQ239" s="7"/>
      <c r="CR239" s="6"/>
      <c r="CS239" s="7"/>
      <c r="CT239" s="8">
        <f t="shared" si="62"/>
        <v>0</v>
      </c>
      <c r="CU239" s="9"/>
      <c r="CV239" s="10"/>
      <c r="CW239" s="11"/>
      <c r="CX239" s="12"/>
      <c r="CY239" s="26"/>
      <c r="CZ239" s="12"/>
      <c r="DA239" s="9"/>
      <c r="DB239" s="10"/>
      <c r="DC239" s="64"/>
      <c r="DD239" s="22">
        <v>1148</v>
      </c>
    </row>
    <row r="240" spans="1:108" ht="24" outlineLevel="2">
      <c r="A240" s="178">
        <v>40368</v>
      </c>
      <c r="B240" s="82" t="s">
        <v>852</v>
      </c>
      <c r="C240" s="82" t="s">
        <v>957</v>
      </c>
      <c r="D240" s="165" t="s">
        <v>1182</v>
      </c>
      <c r="E240" s="167"/>
      <c r="F240" s="66"/>
      <c r="G240" s="66"/>
      <c r="H240" s="66">
        <v>50</v>
      </c>
      <c r="I240" s="66">
        <v>10</v>
      </c>
      <c r="J240" s="66"/>
      <c r="K240" s="66">
        <v>10</v>
      </c>
      <c r="L240" s="66"/>
      <c r="M240" s="66"/>
      <c r="N240" s="66"/>
      <c r="O240" s="66"/>
      <c r="P240" s="66"/>
      <c r="Q240" s="66"/>
      <c r="R240" s="66"/>
      <c r="S240" s="66"/>
      <c r="T240" s="67"/>
      <c r="U240" s="151"/>
      <c r="V240" s="1"/>
      <c r="W240" s="68">
        <f t="shared" si="57"/>
        <v>0</v>
      </c>
      <c r="X240" s="68">
        <f t="shared" si="58"/>
        <v>0</v>
      </c>
      <c r="Y240" s="68">
        <f t="shared" si="59"/>
        <v>0</v>
      </c>
      <c r="Z240" s="68">
        <f t="shared" si="60"/>
        <v>0</v>
      </c>
      <c r="AA240" s="68"/>
      <c r="AB240" s="68">
        <v>0</v>
      </c>
      <c r="AC240" s="69">
        <f t="shared" si="61"/>
        <v>0</v>
      </c>
      <c r="AD240" s="70">
        <v>0</v>
      </c>
      <c r="AE240" s="63">
        <v>40371</v>
      </c>
      <c r="AF240" s="72"/>
      <c r="AG240" s="63" t="s">
        <v>938</v>
      </c>
      <c r="AH240" s="23" t="s">
        <v>939</v>
      </c>
      <c r="AI240" s="60"/>
      <c r="AJ240" s="133" t="s">
        <v>1608</v>
      </c>
      <c r="AK240" s="73" t="s">
        <v>1455</v>
      </c>
      <c r="AL240" s="3"/>
      <c r="AM240" s="4"/>
      <c r="AN240" s="5"/>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6"/>
      <c r="CO240" s="7"/>
      <c r="CP240" s="6"/>
      <c r="CQ240" s="7"/>
      <c r="CR240" s="6"/>
      <c r="CS240" s="7"/>
      <c r="CT240" s="8">
        <f t="shared" si="62"/>
        <v>0</v>
      </c>
      <c r="CU240" s="9"/>
      <c r="CV240" s="10"/>
      <c r="CW240" s="11"/>
      <c r="CX240" s="12"/>
      <c r="CY240" s="26"/>
      <c r="CZ240" s="12"/>
      <c r="DA240" s="9"/>
      <c r="DB240" s="10"/>
      <c r="DC240" s="64"/>
    </row>
    <row r="241" spans="1:108" ht="24" outlineLevel="2">
      <c r="A241" s="178">
        <v>40368</v>
      </c>
      <c r="B241" s="82" t="s">
        <v>852</v>
      </c>
      <c r="C241" s="82" t="s">
        <v>957</v>
      </c>
      <c r="D241" s="165" t="s">
        <v>1182</v>
      </c>
      <c r="E241" s="167"/>
      <c r="F241" s="66"/>
      <c r="G241" s="66"/>
      <c r="H241" s="66">
        <v>70</v>
      </c>
      <c r="I241" s="66">
        <v>16</v>
      </c>
      <c r="J241" s="66"/>
      <c r="K241" s="66">
        <v>16</v>
      </c>
      <c r="L241" s="66"/>
      <c r="M241" s="66"/>
      <c r="N241" s="66"/>
      <c r="O241" s="66"/>
      <c r="P241" s="66"/>
      <c r="Q241" s="66"/>
      <c r="R241" s="66"/>
      <c r="S241" s="66"/>
      <c r="T241" s="67"/>
      <c r="U241" s="151"/>
      <c r="V241" s="1"/>
      <c r="W241" s="68">
        <f t="shared" si="57"/>
        <v>0</v>
      </c>
      <c r="X241" s="68">
        <f t="shared" si="58"/>
        <v>0</v>
      </c>
      <c r="Y241" s="68">
        <f t="shared" si="59"/>
        <v>0</v>
      </c>
      <c r="Z241" s="68">
        <f t="shared" si="60"/>
        <v>0</v>
      </c>
      <c r="AA241" s="68"/>
      <c r="AB241" s="68">
        <v>0</v>
      </c>
      <c r="AC241" s="69">
        <f t="shared" si="61"/>
        <v>0</v>
      </c>
      <c r="AD241" s="70">
        <v>0</v>
      </c>
      <c r="AE241" s="63">
        <v>40371</v>
      </c>
      <c r="AF241" s="72"/>
      <c r="AG241" s="63" t="s">
        <v>938</v>
      </c>
      <c r="AH241" s="23" t="s">
        <v>939</v>
      </c>
      <c r="AI241" s="60"/>
      <c r="AJ241" s="133" t="s">
        <v>1608</v>
      </c>
      <c r="AK241" s="73" t="s">
        <v>1460</v>
      </c>
      <c r="AL241" s="3"/>
      <c r="AM241" s="4"/>
      <c r="AN241" s="5"/>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6"/>
      <c r="CO241" s="7"/>
      <c r="CP241" s="6"/>
      <c r="CQ241" s="7"/>
      <c r="CR241" s="6"/>
      <c r="CS241" s="7"/>
      <c r="CT241" s="8">
        <f t="shared" si="62"/>
        <v>0</v>
      </c>
      <c r="CU241" s="9"/>
      <c r="CV241" s="10"/>
      <c r="CW241" s="11"/>
      <c r="CX241" s="12"/>
      <c r="CY241" s="26"/>
      <c r="CZ241" s="12"/>
      <c r="DA241" s="9"/>
      <c r="DB241" s="10"/>
      <c r="DC241" s="64"/>
    </row>
    <row r="242" spans="1:108" ht="24" outlineLevel="2">
      <c r="A242" s="178">
        <v>40374</v>
      </c>
      <c r="B242" s="82" t="s">
        <v>852</v>
      </c>
      <c r="C242" s="82" t="s">
        <v>957</v>
      </c>
      <c r="D242" s="165" t="s">
        <v>1182</v>
      </c>
      <c r="E242" s="167"/>
      <c r="F242" s="66"/>
      <c r="G242" s="66"/>
      <c r="H242" s="66"/>
      <c r="I242" s="66"/>
      <c r="J242" s="66"/>
      <c r="K242" s="66"/>
      <c r="L242" s="66">
        <v>1</v>
      </c>
      <c r="M242" s="66"/>
      <c r="N242" s="66"/>
      <c r="O242" s="66"/>
      <c r="P242" s="66"/>
      <c r="Q242" s="66"/>
      <c r="R242" s="66"/>
      <c r="S242" s="66"/>
      <c r="T242" s="67"/>
      <c r="U242" s="151"/>
      <c r="V242" s="1"/>
      <c r="W242" s="68">
        <f t="shared" si="57"/>
        <v>0</v>
      </c>
      <c r="X242" s="68">
        <f t="shared" si="58"/>
        <v>0</v>
      </c>
      <c r="Y242" s="68">
        <f t="shared" si="59"/>
        <v>0</v>
      </c>
      <c r="Z242" s="68">
        <f t="shared" si="60"/>
        <v>0</v>
      </c>
      <c r="AA242" s="68"/>
      <c r="AB242" s="68">
        <v>0</v>
      </c>
      <c r="AC242" s="69">
        <f t="shared" si="61"/>
        <v>0</v>
      </c>
      <c r="AD242" s="70">
        <v>0</v>
      </c>
      <c r="AE242" s="63">
        <v>40375</v>
      </c>
      <c r="AF242" s="72"/>
      <c r="AG242" s="63" t="s">
        <v>938</v>
      </c>
      <c r="AH242" s="23" t="s">
        <v>939</v>
      </c>
      <c r="AI242" s="60"/>
      <c r="AJ242" s="133" t="s">
        <v>1608</v>
      </c>
      <c r="AK242" s="73" t="s">
        <v>1425</v>
      </c>
      <c r="AL242" s="3"/>
      <c r="AM242" s="4"/>
      <c r="AN242" s="5"/>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6"/>
      <c r="CO242" s="7"/>
      <c r="CP242" s="6"/>
      <c r="CQ242" s="7"/>
      <c r="CR242" s="6"/>
      <c r="CS242" s="7"/>
      <c r="CT242" s="8">
        <f t="shared" si="62"/>
        <v>0</v>
      </c>
      <c r="CU242" s="9"/>
      <c r="CV242" s="10"/>
      <c r="CW242" s="11"/>
      <c r="CX242" s="12"/>
      <c r="CY242" s="26"/>
      <c r="CZ242" s="12"/>
      <c r="DA242" s="9"/>
      <c r="DB242" s="10"/>
      <c r="DC242" s="64"/>
    </row>
    <row r="243" spans="1:108" ht="24" outlineLevel="2">
      <c r="A243" s="178">
        <v>40375</v>
      </c>
      <c r="B243" s="82" t="s">
        <v>852</v>
      </c>
      <c r="C243" s="82" t="s">
        <v>957</v>
      </c>
      <c r="D243" s="165" t="s">
        <v>1182</v>
      </c>
      <c r="E243" s="167"/>
      <c r="F243" s="66"/>
      <c r="G243" s="66"/>
      <c r="H243" s="66">
        <v>15</v>
      </c>
      <c r="I243" s="66">
        <v>3</v>
      </c>
      <c r="J243" s="66"/>
      <c r="K243" s="66">
        <v>3</v>
      </c>
      <c r="L243" s="66"/>
      <c r="M243" s="66"/>
      <c r="N243" s="66"/>
      <c r="O243" s="66"/>
      <c r="P243" s="66"/>
      <c r="Q243" s="66"/>
      <c r="R243" s="66"/>
      <c r="S243" s="66"/>
      <c r="T243" s="67"/>
      <c r="U243" s="151"/>
      <c r="V243" s="1"/>
      <c r="W243" s="68">
        <f t="shared" si="57"/>
        <v>0</v>
      </c>
      <c r="X243" s="68">
        <f t="shared" si="58"/>
        <v>0</v>
      </c>
      <c r="Y243" s="68">
        <f t="shared" si="59"/>
        <v>0</v>
      </c>
      <c r="Z243" s="68">
        <f t="shared" si="60"/>
        <v>0</v>
      </c>
      <c r="AA243" s="68"/>
      <c r="AB243" s="68">
        <v>0</v>
      </c>
      <c r="AC243" s="69">
        <f t="shared" si="61"/>
        <v>0</v>
      </c>
      <c r="AD243" s="70">
        <v>0</v>
      </c>
      <c r="AE243" s="63">
        <v>40377</v>
      </c>
      <c r="AF243" s="72"/>
      <c r="AG243" s="63" t="s">
        <v>938</v>
      </c>
      <c r="AH243" s="23" t="s">
        <v>939</v>
      </c>
      <c r="AI243" s="60"/>
      <c r="AJ243" s="133" t="s">
        <v>1608</v>
      </c>
      <c r="AK243" s="73" t="s">
        <v>1287</v>
      </c>
      <c r="AL243" s="3"/>
      <c r="AM243" s="4"/>
      <c r="AN243" s="5"/>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6"/>
      <c r="CO243" s="7"/>
      <c r="CP243" s="6"/>
      <c r="CQ243" s="7"/>
      <c r="CR243" s="6"/>
      <c r="CS243" s="7"/>
      <c r="CT243" s="8">
        <f t="shared" si="62"/>
        <v>0</v>
      </c>
      <c r="CU243" s="9"/>
      <c r="CV243" s="10"/>
      <c r="CW243" s="11"/>
      <c r="CX243" s="12"/>
      <c r="CY243" s="26"/>
      <c r="CZ243" s="12"/>
      <c r="DA243" s="9"/>
      <c r="DB243" s="10"/>
      <c r="DC243" s="64"/>
    </row>
    <row r="244" spans="1:108" ht="24" outlineLevel="2">
      <c r="A244" s="178">
        <v>40375</v>
      </c>
      <c r="B244" s="82" t="s">
        <v>852</v>
      </c>
      <c r="C244" s="82" t="s">
        <v>957</v>
      </c>
      <c r="D244" s="165" t="s">
        <v>1182</v>
      </c>
      <c r="E244" s="167"/>
      <c r="F244" s="66"/>
      <c r="G244" s="66"/>
      <c r="H244" s="66">
        <v>7</v>
      </c>
      <c r="I244" s="66">
        <v>1</v>
      </c>
      <c r="J244" s="66"/>
      <c r="K244" s="66">
        <v>1</v>
      </c>
      <c r="L244" s="66"/>
      <c r="M244" s="66"/>
      <c r="N244" s="66"/>
      <c r="O244" s="66"/>
      <c r="P244" s="66"/>
      <c r="Q244" s="66"/>
      <c r="R244" s="66"/>
      <c r="S244" s="66"/>
      <c r="T244" s="67"/>
      <c r="U244" s="151"/>
      <c r="V244" s="1"/>
      <c r="W244" s="68">
        <f t="shared" si="57"/>
        <v>0</v>
      </c>
      <c r="X244" s="68">
        <f t="shared" si="58"/>
        <v>0</v>
      </c>
      <c r="Y244" s="68">
        <f t="shared" si="59"/>
        <v>0</v>
      </c>
      <c r="Z244" s="68">
        <f t="shared" si="60"/>
        <v>0</v>
      </c>
      <c r="AA244" s="68"/>
      <c r="AB244" s="68">
        <v>0</v>
      </c>
      <c r="AC244" s="69">
        <f t="shared" si="61"/>
        <v>0</v>
      </c>
      <c r="AD244" s="70">
        <v>0</v>
      </c>
      <c r="AE244" s="63">
        <v>40377</v>
      </c>
      <c r="AF244" s="72"/>
      <c r="AG244" s="63" t="s">
        <v>938</v>
      </c>
      <c r="AH244" s="23" t="s">
        <v>939</v>
      </c>
      <c r="AI244" s="60"/>
      <c r="AJ244" s="133" t="s">
        <v>1608</v>
      </c>
      <c r="AK244" s="73" t="s">
        <v>2362</v>
      </c>
      <c r="AL244" s="3"/>
      <c r="AM244" s="4"/>
      <c r="AN244" s="5"/>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6"/>
      <c r="CO244" s="7"/>
      <c r="CP244" s="6"/>
      <c r="CQ244" s="7"/>
      <c r="CR244" s="6"/>
      <c r="CS244" s="7"/>
      <c r="CT244" s="8">
        <f t="shared" si="62"/>
        <v>0</v>
      </c>
      <c r="CU244" s="9"/>
      <c r="CV244" s="10"/>
      <c r="CW244" s="11"/>
      <c r="CX244" s="12"/>
      <c r="CY244" s="26"/>
      <c r="CZ244" s="12"/>
      <c r="DA244" s="9"/>
      <c r="DB244" s="10"/>
      <c r="DC244" s="64"/>
    </row>
    <row r="245" spans="1:108" outlineLevel="2">
      <c r="A245" s="178">
        <v>40375</v>
      </c>
      <c r="B245" s="82" t="s">
        <v>852</v>
      </c>
      <c r="C245" s="82" t="s">
        <v>957</v>
      </c>
      <c r="D245" s="165" t="s">
        <v>1182</v>
      </c>
      <c r="E245" s="167"/>
      <c r="F245" s="66"/>
      <c r="G245" s="66"/>
      <c r="H245" s="66">
        <v>15</v>
      </c>
      <c r="I245" s="66">
        <v>3</v>
      </c>
      <c r="J245" s="66"/>
      <c r="K245" s="66">
        <v>3</v>
      </c>
      <c r="L245" s="66"/>
      <c r="M245" s="66"/>
      <c r="N245" s="66"/>
      <c r="O245" s="66"/>
      <c r="P245" s="66"/>
      <c r="Q245" s="66"/>
      <c r="R245" s="66"/>
      <c r="S245" s="66"/>
      <c r="T245" s="67"/>
      <c r="U245" s="151"/>
      <c r="V245" s="1"/>
      <c r="W245" s="68">
        <f t="shared" ref="W245:W271" si="63">CT245</f>
        <v>0</v>
      </c>
      <c r="X245" s="68">
        <f t="shared" ref="X245:X271" si="64">CX245</f>
        <v>0</v>
      </c>
      <c r="Y245" s="68">
        <f t="shared" ref="Y245:Y271" si="65">CZ245+DB245</f>
        <v>0</v>
      </c>
      <c r="Z245" s="68">
        <f t="shared" ref="Z245:Z271" si="66">CV245</f>
        <v>0</v>
      </c>
      <c r="AA245" s="68"/>
      <c r="AB245" s="68">
        <v>0</v>
      </c>
      <c r="AC245" s="69">
        <f t="shared" ref="AC245:AC271" si="67">W245+X245+Y245+Z245+AA245+AB245</f>
        <v>0</v>
      </c>
      <c r="AD245" s="70">
        <v>0</v>
      </c>
      <c r="AE245" s="63">
        <v>40377</v>
      </c>
      <c r="AF245" s="72"/>
      <c r="AG245" s="63" t="s">
        <v>938</v>
      </c>
      <c r="AH245" s="23" t="s">
        <v>939</v>
      </c>
      <c r="AI245" s="60"/>
      <c r="AJ245" s="133" t="s">
        <v>1608</v>
      </c>
      <c r="AK245" s="73" t="s">
        <v>2365</v>
      </c>
      <c r="AL245" s="3"/>
      <c r="AM245" s="4"/>
      <c r="AN245" s="5"/>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6"/>
      <c r="CO245" s="7"/>
      <c r="CP245" s="6"/>
      <c r="CQ245" s="7"/>
      <c r="CR245" s="6"/>
      <c r="CS245" s="7"/>
      <c r="CT245" s="8">
        <f t="shared" ref="CT245:CT271" si="68">AM245+AO245+AQ245+AS245+AU245+AW245+AY245+BA245+BC245+BE245+BG245+BI245+BK245+BM245+BO245+BQ245+BS245+BU245+BW245+BY245+CA245+CC245+CE245+CG245+CI245+CK245+CM245+CO245+CQ245+CS245</f>
        <v>0</v>
      </c>
      <c r="CU245" s="9"/>
      <c r="CV245" s="10"/>
      <c r="CW245" s="11"/>
      <c r="CX245" s="12"/>
      <c r="CY245" s="26"/>
      <c r="CZ245" s="12"/>
      <c r="DA245" s="9"/>
      <c r="DB245" s="10"/>
      <c r="DC245" s="64"/>
    </row>
    <row r="246" spans="1:108" ht="24" outlineLevel="2">
      <c r="A246" s="178">
        <v>40375</v>
      </c>
      <c r="B246" s="82" t="s">
        <v>852</v>
      </c>
      <c r="C246" s="82" t="s">
        <v>957</v>
      </c>
      <c r="D246" s="165" t="s">
        <v>1182</v>
      </c>
      <c r="E246" s="167"/>
      <c r="F246" s="66"/>
      <c r="G246" s="66"/>
      <c r="H246" s="66">
        <v>5</v>
      </c>
      <c r="I246" s="66">
        <v>1</v>
      </c>
      <c r="J246" s="66"/>
      <c r="K246" s="66">
        <v>1</v>
      </c>
      <c r="L246" s="66"/>
      <c r="M246" s="66"/>
      <c r="N246" s="66"/>
      <c r="O246" s="66"/>
      <c r="P246" s="66"/>
      <c r="Q246" s="66"/>
      <c r="R246" s="66"/>
      <c r="S246" s="66"/>
      <c r="T246" s="67"/>
      <c r="U246" s="151"/>
      <c r="V246" s="1"/>
      <c r="W246" s="68">
        <f t="shared" si="63"/>
        <v>0</v>
      </c>
      <c r="X246" s="68">
        <f t="shared" si="64"/>
        <v>0</v>
      </c>
      <c r="Y246" s="68">
        <f t="shared" si="65"/>
        <v>0</v>
      </c>
      <c r="Z246" s="68">
        <f t="shared" si="66"/>
        <v>0</v>
      </c>
      <c r="AA246" s="68"/>
      <c r="AB246" s="68">
        <v>0</v>
      </c>
      <c r="AC246" s="69">
        <f t="shared" si="67"/>
        <v>0</v>
      </c>
      <c r="AD246" s="70">
        <v>0</v>
      </c>
      <c r="AE246" s="63">
        <v>40377</v>
      </c>
      <c r="AF246" s="72"/>
      <c r="AG246" s="63" t="s">
        <v>938</v>
      </c>
      <c r="AH246" s="23" t="s">
        <v>939</v>
      </c>
      <c r="AI246" s="60"/>
      <c r="AJ246" s="133" t="s">
        <v>1608</v>
      </c>
      <c r="AK246" s="73" t="s">
        <v>2366</v>
      </c>
      <c r="AL246" s="3"/>
      <c r="AM246" s="4"/>
      <c r="AN246" s="5"/>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6"/>
      <c r="CO246" s="7"/>
      <c r="CP246" s="6"/>
      <c r="CQ246" s="7"/>
      <c r="CR246" s="6"/>
      <c r="CS246" s="7"/>
      <c r="CT246" s="8">
        <f t="shared" si="68"/>
        <v>0</v>
      </c>
      <c r="CU246" s="9"/>
      <c r="CV246" s="10"/>
      <c r="CW246" s="11"/>
      <c r="CX246" s="12"/>
      <c r="CY246" s="26"/>
      <c r="CZ246" s="12"/>
      <c r="DA246" s="9"/>
      <c r="DB246" s="10"/>
      <c r="DC246" s="64"/>
    </row>
    <row r="247" spans="1:108" ht="24" outlineLevel="2">
      <c r="A247" s="178">
        <v>40377</v>
      </c>
      <c r="B247" s="82" t="s">
        <v>852</v>
      </c>
      <c r="C247" s="82" t="s">
        <v>957</v>
      </c>
      <c r="D247" s="165" t="s">
        <v>1182</v>
      </c>
      <c r="E247" s="167"/>
      <c r="F247" s="66"/>
      <c r="G247" s="66"/>
      <c r="H247" s="66">
        <v>10</v>
      </c>
      <c r="I247" s="66">
        <v>2</v>
      </c>
      <c r="J247" s="66"/>
      <c r="K247" s="66">
        <v>2</v>
      </c>
      <c r="L247" s="66"/>
      <c r="M247" s="66"/>
      <c r="N247" s="66"/>
      <c r="O247" s="66"/>
      <c r="P247" s="66"/>
      <c r="Q247" s="66"/>
      <c r="R247" s="66"/>
      <c r="S247" s="66"/>
      <c r="T247" s="67"/>
      <c r="U247" s="151"/>
      <c r="V247" s="1"/>
      <c r="W247" s="68">
        <f t="shared" si="63"/>
        <v>0</v>
      </c>
      <c r="X247" s="68">
        <f t="shared" si="64"/>
        <v>0</v>
      </c>
      <c r="Y247" s="68">
        <f t="shared" si="65"/>
        <v>0</v>
      </c>
      <c r="Z247" s="68">
        <f t="shared" si="66"/>
        <v>0</v>
      </c>
      <c r="AA247" s="68"/>
      <c r="AB247" s="68">
        <v>0</v>
      </c>
      <c r="AC247" s="69">
        <f t="shared" si="67"/>
        <v>0</v>
      </c>
      <c r="AD247" s="70">
        <v>0</v>
      </c>
      <c r="AE247" s="63">
        <v>40378</v>
      </c>
      <c r="AF247" s="72"/>
      <c r="AG247" s="63" t="s">
        <v>938</v>
      </c>
      <c r="AH247" s="23" t="s">
        <v>939</v>
      </c>
      <c r="AI247" s="60"/>
      <c r="AJ247" s="133" t="s">
        <v>1608</v>
      </c>
      <c r="AK247" s="73" t="s">
        <v>1601</v>
      </c>
      <c r="AL247" s="3"/>
      <c r="AM247" s="4"/>
      <c r="AN247" s="5"/>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6"/>
      <c r="CO247" s="7"/>
      <c r="CP247" s="6"/>
      <c r="CQ247" s="7"/>
      <c r="CR247" s="6"/>
      <c r="CS247" s="7"/>
      <c r="CT247" s="8">
        <f t="shared" si="68"/>
        <v>0</v>
      </c>
      <c r="CU247" s="9"/>
      <c r="CV247" s="10"/>
      <c r="CW247" s="11"/>
      <c r="CX247" s="12"/>
      <c r="CY247" s="26"/>
      <c r="CZ247" s="12"/>
      <c r="DA247" s="9"/>
      <c r="DB247" s="10"/>
      <c r="DC247" s="64"/>
      <c r="DD247" s="22">
        <v>1169</v>
      </c>
    </row>
    <row r="248" spans="1:108" ht="24" outlineLevel="2">
      <c r="A248" s="178">
        <v>40378</v>
      </c>
      <c r="B248" s="82" t="s">
        <v>852</v>
      </c>
      <c r="C248" s="82" t="s">
        <v>957</v>
      </c>
      <c r="D248" s="165" t="s">
        <v>1182</v>
      </c>
      <c r="E248" s="167"/>
      <c r="F248" s="66"/>
      <c r="G248" s="66"/>
      <c r="H248" s="66"/>
      <c r="I248" s="66"/>
      <c r="J248" s="66"/>
      <c r="K248" s="66"/>
      <c r="L248" s="66"/>
      <c r="M248" s="66"/>
      <c r="N248" s="66"/>
      <c r="O248" s="66"/>
      <c r="P248" s="66"/>
      <c r="Q248" s="66"/>
      <c r="R248" s="66"/>
      <c r="S248" s="66"/>
      <c r="T248" s="67"/>
      <c r="U248" s="151"/>
      <c r="V248" s="1"/>
      <c r="W248" s="68">
        <f t="shared" si="63"/>
        <v>0</v>
      </c>
      <c r="X248" s="68">
        <f t="shared" si="64"/>
        <v>0</v>
      </c>
      <c r="Y248" s="68">
        <f t="shared" si="65"/>
        <v>0</v>
      </c>
      <c r="Z248" s="68">
        <f t="shared" si="66"/>
        <v>0</v>
      </c>
      <c r="AA248" s="68"/>
      <c r="AB248" s="68">
        <v>0</v>
      </c>
      <c r="AC248" s="69">
        <f t="shared" si="67"/>
        <v>0</v>
      </c>
      <c r="AD248" s="70">
        <v>0</v>
      </c>
      <c r="AE248" s="63">
        <v>40379</v>
      </c>
      <c r="AF248" s="72"/>
      <c r="AG248" s="63" t="s">
        <v>938</v>
      </c>
      <c r="AH248" s="23" t="s">
        <v>939</v>
      </c>
      <c r="AI248" s="60"/>
      <c r="AJ248" s="133" t="s">
        <v>1608</v>
      </c>
      <c r="AK248" s="73" t="s">
        <v>1430</v>
      </c>
      <c r="AL248" s="3"/>
      <c r="AM248" s="4"/>
      <c r="AN248" s="5"/>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6"/>
      <c r="CO248" s="7"/>
      <c r="CP248" s="6"/>
      <c r="CQ248" s="7"/>
      <c r="CR248" s="6"/>
      <c r="CS248" s="7"/>
      <c r="CT248" s="8">
        <f t="shared" si="68"/>
        <v>0</v>
      </c>
      <c r="CU248" s="9"/>
      <c r="CV248" s="10"/>
      <c r="CW248" s="11"/>
      <c r="CX248" s="12"/>
      <c r="CY248" s="26"/>
      <c r="CZ248" s="12"/>
      <c r="DA248" s="9"/>
      <c r="DB248" s="10"/>
      <c r="DC248" s="64"/>
    </row>
    <row r="249" spans="1:108" ht="22.5" outlineLevel="2">
      <c r="A249" s="178">
        <v>40422</v>
      </c>
      <c r="B249" s="174" t="s">
        <v>852</v>
      </c>
      <c r="C249" s="174" t="s">
        <v>957</v>
      </c>
      <c r="D249" s="166" t="s">
        <v>944</v>
      </c>
      <c r="E249" s="163"/>
      <c r="F249" s="105">
        <v>2</v>
      </c>
      <c r="G249" s="105"/>
      <c r="H249" s="105"/>
      <c r="I249" s="105"/>
      <c r="J249" s="105"/>
      <c r="K249" s="105"/>
      <c r="L249" s="105"/>
      <c r="M249" s="105"/>
      <c r="N249" s="105"/>
      <c r="O249" s="105"/>
      <c r="P249" s="105"/>
      <c r="Q249" s="105"/>
      <c r="R249" s="105"/>
      <c r="S249" s="105"/>
      <c r="T249" s="106"/>
      <c r="U249" s="130"/>
      <c r="V249" s="1"/>
      <c r="W249" s="68">
        <f t="shared" si="63"/>
        <v>0</v>
      </c>
      <c r="X249" s="68">
        <f t="shared" si="64"/>
        <v>0</v>
      </c>
      <c r="Y249" s="68">
        <f t="shared" si="65"/>
        <v>0</v>
      </c>
      <c r="Z249" s="68">
        <f t="shared" si="66"/>
        <v>0</v>
      </c>
      <c r="AA249" s="68"/>
      <c r="AB249" s="68">
        <v>0</v>
      </c>
      <c r="AC249" s="69">
        <f t="shared" si="67"/>
        <v>0</v>
      </c>
      <c r="AD249" s="70">
        <v>0</v>
      </c>
      <c r="AE249" s="1">
        <v>40423</v>
      </c>
      <c r="AF249" s="72"/>
      <c r="AG249" s="63" t="s">
        <v>938</v>
      </c>
      <c r="AH249" s="23" t="s">
        <v>939</v>
      </c>
      <c r="AI249" s="60"/>
      <c r="AJ249" s="124" t="s">
        <v>1608</v>
      </c>
      <c r="AK249" s="147" t="s">
        <v>2276</v>
      </c>
      <c r="AL249" s="107"/>
      <c r="AM249" s="108"/>
      <c r="AN249" s="109"/>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10"/>
      <c r="CO249" s="111"/>
      <c r="CP249" s="110"/>
      <c r="CQ249" s="111"/>
      <c r="CR249" s="110"/>
      <c r="CS249" s="111"/>
      <c r="CT249" s="112">
        <f t="shared" si="68"/>
        <v>0</v>
      </c>
      <c r="CU249" s="113"/>
      <c r="CV249" s="114"/>
      <c r="CW249" s="115"/>
      <c r="CX249" s="116"/>
      <c r="CY249" s="117"/>
      <c r="CZ249" s="116"/>
      <c r="DA249" s="113"/>
      <c r="DB249" s="114"/>
      <c r="DC249" s="64"/>
      <c r="DD249" s="118"/>
    </row>
    <row r="250" spans="1:108" ht="24.75" outlineLevel="2">
      <c r="A250" s="178">
        <v>40446</v>
      </c>
      <c r="B250" s="164" t="s">
        <v>852</v>
      </c>
      <c r="C250" s="164" t="s">
        <v>957</v>
      </c>
      <c r="D250" s="166" t="s">
        <v>435</v>
      </c>
      <c r="E250" s="163"/>
      <c r="F250" s="105"/>
      <c r="G250" s="105"/>
      <c r="H250" s="105"/>
      <c r="I250" s="105"/>
      <c r="J250" s="105"/>
      <c r="K250" s="105"/>
      <c r="L250" s="105"/>
      <c r="M250" s="105"/>
      <c r="N250" s="105"/>
      <c r="O250" s="105"/>
      <c r="P250" s="105"/>
      <c r="Q250" s="105"/>
      <c r="R250" s="105">
        <v>2</v>
      </c>
      <c r="S250" s="105"/>
      <c r="T250" s="106"/>
      <c r="U250" s="130" t="s">
        <v>1353</v>
      </c>
      <c r="V250" s="1"/>
      <c r="W250" s="68">
        <f t="shared" si="63"/>
        <v>0</v>
      </c>
      <c r="X250" s="68">
        <f t="shared" si="64"/>
        <v>0</v>
      </c>
      <c r="Y250" s="68">
        <f t="shared" si="65"/>
        <v>0</v>
      </c>
      <c r="Z250" s="68">
        <f t="shared" si="66"/>
        <v>0</v>
      </c>
      <c r="AA250" s="68"/>
      <c r="AB250" s="68">
        <v>0</v>
      </c>
      <c r="AC250" s="69">
        <f t="shared" si="67"/>
        <v>0</v>
      </c>
      <c r="AD250" s="70">
        <v>0</v>
      </c>
      <c r="AE250" s="63">
        <v>40448</v>
      </c>
      <c r="AF250" s="72"/>
      <c r="AG250" s="63" t="s">
        <v>938</v>
      </c>
      <c r="AH250" s="23" t="s">
        <v>939</v>
      </c>
      <c r="AI250" s="60"/>
      <c r="AJ250" s="124" t="s">
        <v>1608</v>
      </c>
      <c r="AK250" s="121" t="s">
        <v>1352</v>
      </c>
      <c r="AL250" s="107"/>
      <c r="AM250" s="108"/>
      <c r="AN250" s="109"/>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10"/>
      <c r="CO250" s="111"/>
      <c r="CP250" s="110"/>
      <c r="CQ250" s="111"/>
      <c r="CR250" s="110"/>
      <c r="CS250" s="111"/>
      <c r="CT250" s="112">
        <f t="shared" si="68"/>
        <v>0</v>
      </c>
      <c r="CU250" s="113"/>
      <c r="CV250" s="114"/>
      <c r="CW250" s="115"/>
      <c r="CX250" s="116"/>
      <c r="CY250" s="117"/>
      <c r="CZ250" s="116"/>
      <c r="DA250" s="113"/>
      <c r="DB250" s="114"/>
      <c r="DC250" s="64"/>
      <c r="DD250" s="118"/>
    </row>
    <row r="251" spans="1:108" ht="36" outlineLevel="2">
      <c r="A251" s="178">
        <v>40452</v>
      </c>
      <c r="B251" s="164" t="s">
        <v>852</v>
      </c>
      <c r="C251" s="164" t="s">
        <v>957</v>
      </c>
      <c r="D251" s="165" t="s">
        <v>1182</v>
      </c>
      <c r="E251" s="163"/>
      <c r="F251" s="105"/>
      <c r="G251" s="105"/>
      <c r="H251" s="105">
        <v>307</v>
      </c>
      <c r="I251" s="105">
        <v>88</v>
      </c>
      <c r="J251" s="105"/>
      <c r="K251" s="105">
        <v>88</v>
      </c>
      <c r="L251" s="105"/>
      <c r="M251" s="105"/>
      <c r="N251" s="105"/>
      <c r="O251" s="105"/>
      <c r="P251" s="105"/>
      <c r="Q251" s="105"/>
      <c r="R251" s="105"/>
      <c r="S251" s="105"/>
      <c r="T251" s="106"/>
      <c r="U251" s="130"/>
      <c r="V251" s="1"/>
      <c r="W251" s="68">
        <f t="shared" si="63"/>
        <v>0</v>
      </c>
      <c r="X251" s="68">
        <f t="shared" si="64"/>
        <v>0</v>
      </c>
      <c r="Y251" s="68">
        <f t="shared" si="65"/>
        <v>0</v>
      </c>
      <c r="Z251" s="68">
        <f t="shared" si="66"/>
        <v>0</v>
      </c>
      <c r="AA251" s="68"/>
      <c r="AB251" s="68">
        <v>0</v>
      </c>
      <c r="AC251" s="69">
        <f t="shared" si="67"/>
        <v>0</v>
      </c>
      <c r="AD251" s="70">
        <v>0</v>
      </c>
      <c r="AE251" s="63">
        <v>40455</v>
      </c>
      <c r="AF251" s="72"/>
      <c r="AG251" s="63" t="s">
        <v>938</v>
      </c>
      <c r="AH251" s="23" t="s">
        <v>939</v>
      </c>
      <c r="AI251" s="60"/>
      <c r="AJ251" s="124" t="s">
        <v>1608</v>
      </c>
      <c r="AK251" s="121" t="s">
        <v>770</v>
      </c>
      <c r="AL251" s="107"/>
      <c r="AM251" s="108"/>
      <c r="AN251" s="109"/>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10"/>
      <c r="CO251" s="111"/>
      <c r="CP251" s="110"/>
      <c r="CQ251" s="111"/>
      <c r="CR251" s="110"/>
      <c r="CS251" s="111"/>
      <c r="CT251" s="112">
        <f t="shared" si="68"/>
        <v>0</v>
      </c>
      <c r="CU251" s="113"/>
      <c r="CV251" s="114"/>
      <c r="CW251" s="115"/>
      <c r="CX251" s="116"/>
      <c r="CY251" s="117"/>
      <c r="CZ251" s="116"/>
      <c r="DA251" s="113"/>
      <c r="DB251" s="114"/>
      <c r="DC251" s="64"/>
      <c r="DD251" s="118"/>
    </row>
    <row r="252" spans="1:108" ht="24" outlineLevel="2">
      <c r="A252" s="178">
        <v>40452</v>
      </c>
      <c r="B252" s="164" t="s">
        <v>852</v>
      </c>
      <c r="C252" s="164" t="s">
        <v>957</v>
      </c>
      <c r="D252" s="166" t="s">
        <v>1937</v>
      </c>
      <c r="E252" s="163"/>
      <c r="F252" s="105"/>
      <c r="G252" s="105"/>
      <c r="H252" s="105">
        <v>225</v>
      </c>
      <c r="I252" s="105">
        <v>45</v>
      </c>
      <c r="J252" s="105"/>
      <c r="K252" s="105">
        <v>45</v>
      </c>
      <c r="L252" s="105"/>
      <c r="M252" s="105"/>
      <c r="N252" s="105"/>
      <c r="O252" s="105"/>
      <c r="P252" s="105"/>
      <c r="Q252" s="105"/>
      <c r="R252" s="105"/>
      <c r="S252" s="105"/>
      <c r="T252" s="106"/>
      <c r="U252" s="130"/>
      <c r="V252" s="1"/>
      <c r="W252" s="68">
        <f t="shared" si="63"/>
        <v>0</v>
      </c>
      <c r="X252" s="68">
        <f t="shared" si="64"/>
        <v>0</v>
      </c>
      <c r="Y252" s="68">
        <f t="shared" si="65"/>
        <v>0</v>
      </c>
      <c r="Z252" s="68">
        <f t="shared" si="66"/>
        <v>0</v>
      </c>
      <c r="AA252" s="68"/>
      <c r="AB252" s="68">
        <v>0</v>
      </c>
      <c r="AC252" s="69">
        <f t="shared" si="67"/>
        <v>0</v>
      </c>
      <c r="AD252" s="70">
        <v>0</v>
      </c>
      <c r="AE252" s="63">
        <v>40455</v>
      </c>
      <c r="AF252" s="72"/>
      <c r="AG252" s="63" t="s">
        <v>938</v>
      </c>
      <c r="AH252" s="23" t="s">
        <v>939</v>
      </c>
      <c r="AI252" s="60"/>
      <c r="AJ252" s="124" t="s">
        <v>1608</v>
      </c>
      <c r="AK252" s="121" t="s">
        <v>772</v>
      </c>
      <c r="AL252" s="107"/>
      <c r="AM252" s="108"/>
      <c r="AN252" s="109"/>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10"/>
      <c r="CO252" s="111"/>
      <c r="CP252" s="110"/>
      <c r="CQ252" s="111"/>
      <c r="CR252" s="110"/>
      <c r="CS252" s="111"/>
      <c r="CT252" s="112">
        <f t="shared" si="68"/>
        <v>0</v>
      </c>
      <c r="CU252" s="113"/>
      <c r="CV252" s="114"/>
      <c r="CW252" s="115"/>
      <c r="CX252" s="116"/>
      <c r="CY252" s="117"/>
      <c r="CZ252" s="116"/>
      <c r="DA252" s="113"/>
      <c r="DB252" s="114"/>
      <c r="DC252" s="64"/>
      <c r="DD252" s="118"/>
    </row>
    <row r="253" spans="1:108" ht="36" outlineLevel="2">
      <c r="A253" s="178">
        <v>40478</v>
      </c>
      <c r="B253" s="164" t="s">
        <v>852</v>
      </c>
      <c r="C253" s="164" t="s">
        <v>957</v>
      </c>
      <c r="D253" s="165" t="s">
        <v>1182</v>
      </c>
      <c r="E253" s="163"/>
      <c r="F253" s="105"/>
      <c r="G253" s="105"/>
      <c r="H253" s="105">
        <v>45</v>
      </c>
      <c r="I253" s="105">
        <v>9</v>
      </c>
      <c r="J253" s="105"/>
      <c r="K253" s="105">
        <v>9</v>
      </c>
      <c r="L253" s="105"/>
      <c r="M253" s="105"/>
      <c r="N253" s="105"/>
      <c r="O253" s="105"/>
      <c r="P253" s="105"/>
      <c r="Q253" s="105"/>
      <c r="R253" s="105"/>
      <c r="S253" s="105"/>
      <c r="T253" s="106"/>
      <c r="U253" s="130"/>
      <c r="V253" s="1"/>
      <c r="W253" s="68">
        <f t="shared" si="63"/>
        <v>0</v>
      </c>
      <c r="X253" s="68">
        <f t="shared" si="64"/>
        <v>0</v>
      </c>
      <c r="Y253" s="68">
        <f t="shared" si="65"/>
        <v>0</v>
      </c>
      <c r="Z253" s="68">
        <f t="shared" si="66"/>
        <v>0</v>
      </c>
      <c r="AA253" s="68"/>
      <c r="AB253" s="68">
        <v>0</v>
      </c>
      <c r="AC253" s="69">
        <f t="shared" si="67"/>
        <v>0</v>
      </c>
      <c r="AD253" s="70">
        <v>0</v>
      </c>
      <c r="AE253" s="63">
        <v>40482</v>
      </c>
      <c r="AF253" s="72"/>
      <c r="AG253" s="63" t="s">
        <v>938</v>
      </c>
      <c r="AH253" s="23" t="s">
        <v>939</v>
      </c>
      <c r="AI253" s="60"/>
      <c r="AJ253" s="124" t="s">
        <v>1608</v>
      </c>
      <c r="AK253" s="121" t="s">
        <v>1838</v>
      </c>
      <c r="AL253" s="107"/>
      <c r="AM253" s="108"/>
      <c r="AN253" s="109"/>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10"/>
      <c r="CO253" s="111"/>
      <c r="CP253" s="110"/>
      <c r="CQ253" s="111"/>
      <c r="CR253" s="110"/>
      <c r="CS253" s="111"/>
      <c r="CT253" s="112">
        <f t="shared" si="68"/>
        <v>0</v>
      </c>
      <c r="CU253" s="113"/>
      <c r="CV253" s="114"/>
      <c r="CW253" s="115"/>
      <c r="CX253" s="116"/>
      <c r="CY253" s="117"/>
      <c r="CZ253" s="116"/>
      <c r="DA253" s="113"/>
      <c r="DB253" s="114"/>
      <c r="DC253" s="64"/>
      <c r="DD253" s="118"/>
    </row>
    <row r="254" spans="1:108" ht="24" outlineLevel="2">
      <c r="A254" s="178">
        <v>40487</v>
      </c>
      <c r="B254" s="164" t="s">
        <v>852</v>
      </c>
      <c r="C254" s="164" t="s">
        <v>957</v>
      </c>
      <c r="D254" s="166" t="s">
        <v>944</v>
      </c>
      <c r="E254" s="163">
        <v>1</v>
      </c>
      <c r="F254" s="105"/>
      <c r="G254" s="105"/>
      <c r="H254" s="105"/>
      <c r="I254" s="105"/>
      <c r="J254" s="105"/>
      <c r="K254" s="105"/>
      <c r="L254" s="105"/>
      <c r="M254" s="105"/>
      <c r="N254" s="105"/>
      <c r="O254" s="105"/>
      <c r="P254" s="105"/>
      <c r="Q254" s="105"/>
      <c r="R254" s="105"/>
      <c r="S254" s="105"/>
      <c r="T254" s="106"/>
      <c r="U254" s="130"/>
      <c r="V254" s="1"/>
      <c r="W254" s="68">
        <f t="shared" si="63"/>
        <v>0</v>
      </c>
      <c r="X254" s="68">
        <f t="shared" si="64"/>
        <v>0</v>
      </c>
      <c r="Y254" s="68">
        <f t="shared" si="65"/>
        <v>0</v>
      </c>
      <c r="Z254" s="68">
        <f t="shared" si="66"/>
        <v>0</v>
      </c>
      <c r="AA254" s="68"/>
      <c r="AB254" s="68">
        <v>0</v>
      </c>
      <c r="AC254" s="69">
        <f t="shared" si="67"/>
        <v>0</v>
      </c>
      <c r="AD254" s="70">
        <v>0</v>
      </c>
      <c r="AE254" s="63">
        <v>40490</v>
      </c>
      <c r="AF254" s="72"/>
      <c r="AG254" s="63" t="s">
        <v>938</v>
      </c>
      <c r="AH254" s="23" t="s">
        <v>939</v>
      </c>
      <c r="AI254" s="60"/>
      <c r="AJ254" s="124" t="s">
        <v>1608</v>
      </c>
      <c r="AK254" s="121" t="s">
        <v>456</v>
      </c>
      <c r="AL254" s="107"/>
      <c r="AM254" s="108"/>
      <c r="AN254" s="109"/>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10"/>
      <c r="CO254" s="111"/>
      <c r="CP254" s="110"/>
      <c r="CQ254" s="111"/>
      <c r="CR254" s="110"/>
      <c r="CS254" s="111"/>
      <c r="CT254" s="112">
        <f t="shared" si="68"/>
        <v>0</v>
      </c>
      <c r="CU254" s="113"/>
      <c r="CV254" s="114"/>
      <c r="CW254" s="115"/>
      <c r="CX254" s="116"/>
      <c r="CY254" s="117"/>
      <c r="CZ254" s="116"/>
      <c r="DA254" s="113"/>
      <c r="DB254" s="114"/>
      <c r="DC254" s="64"/>
      <c r="DD254" s="118"/>
    </row>
    <row r="255" spans="1:108" ht="24" outlineLevel="2">
      <c r="A255" s="178">
        <v>40498</v>
      </c>
      <c r="B255" s="164" t="s">
        <v>852</v>
      </c>
      <c r="C255" s="164" t="s">
        <v>957</v>
      </c>
      <c r="D255" s="165" t="s">
        <v>1182</v>
      </c>
      <c r="E255" s="163">
        <v>4</v>
      </c>
      <c r="F255" s="105"/>
      <c r="G255" s="105"/>
      <c r="H255" s="105">
        <v>30</v>
      </c>
      <c r="I255" s="105">
        <v>6</v>
      </c>
      <c r="J255" s="105">
        <v>1</v>
      </c>
      <c r="K255" s="105">
        <v>5</v>
      </c>
      <c r="L255" s="105"/>
      <c r="M255" s="105"/>
      <c r="N255" s="105"/>
      <c r="O255" s="105"/>
      <c r="P255" s="105"/>
      <c r="Q255" s="105"/>
      <c r="R255" s="105"/>
      <c r="S255" s="105"/>
      <c r="T255" s="106"/>
      <c r="U255" s="130"/>
      <c r="V255" s="1"/>
      <c r="W255" s="68">
        <f t="shared" si="63"/>
        <v>0</v>
      </c>
      <c r="X255" s="68">
        <f t="shared" si="64"/>
        <v>0</v>
      </c>
      <c r="Y255" s="68">
        <f t="shared" si="65"/>
        <v>0</v>
      </c>
      <c r="Z255" s="68">
        <f t="shared" si="66"/>
        <v>0</v>
      </c>
      <c r="AA255" s="68"/>
      <c r="AB255" s="68">
        <v>0</v>
      </c>
      <c r="AC255" s="69">
        <f t="shared" si="67"/>
        <v>0</v>
      </c>
      <c r="AD255" s="70">
        <v>0</v>
      </c>
      <c r="AE255" s="1">
        <v>40499</v>
      </c>
      <c r="AF255" s="72"/>
      <c r="AG255" s="63" t="s">
        <v>938</v>
      </c>
      <c r="AH255" s="23" t="s">
        <v>939</v>
      </c>
      <c r="AI255" s="60"/>
      <c r="AJ255" s="124" t="s">
        <v>1608</v>
      </c>
      <c r="AK255" s="121" t="s">
        <v>44</v>
      </c>
      <c r="AL255" s="107"/>
      <c r="AM255" s="108"/>
      <c r="AN255" s="109"/>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10"/>
      <c r="CO255" s="111"/>
      <c r="CP255" s="110"/>
      <c r="CQ255" s="111"/>
      <c r="CR255" s="110"/>
      <c r="CS255" s="111"/>
      <c r="CT255" s="112">
        <f t="shared" si="68"/>
        <v>0</v>
      </c>
      <c r="CU255" s="113"/>
      <c r="CV255" s="114"/>
      <c r="CW255" s="115"/>
      <c r="CX255" s="116"/>
      <c r="CY255" s="117"/>
      <c r="CZ255" s="116"/>
      <c r="DA255" s="113"/>
      <c r="DB255" s="114"/>
      <c r="DC255" s="64"/>
      <c r="DD255" s="118"/>
    </row>
    <row r="256" spans="1:108" ht="36" outlineLevel="2">
      <c r="A256" s="178">
        <v>40498</v>
      </c>
      <c r="B256" s="164" t="s">
        <v>852</v>
      </c>
      <c r="C256" s="164" t="s">
        <v>957</v>
      </c>
      <c r="D256" s="165" t="s">
        <v>1182</v>
      </c>
      <c r="E256" s="163"/>
      <c r="F256" s="105"/>
      <c r="G256" s="105"/>
      <c r="H256" s="105">
        <v>266</v>
      </c>
      <c r="I256" s="105">
        <v>40</v>
      </c>
      <c r="J256" s="105"/>
      <c r="K256" s="105">
        <v>40</v>
      </c>
      <c r="L256" s="105"/>
      <c r="M256" s="105"/>
      <c r="N256" s="105"/>
      <c r="O256" s="105"/>
      <c r="P256" s="105"/>
      <c r="Q256" s="105"/>
      <c r="R256" s="105"/>
      <c r="S256" s="105"/>
      <c r="T256" s="106"/>
      <c r="U256" s="130" t="s">
        <v>62</v>
      </c>
      <c r="V256" s="1"/>
      <c r="W256" s="68">
        <f t="shared" si="63"/>
        <v>0</v>
      </c>
      <c r="X256" s="68">
        <f t="shared" si="64"/>
        <v>0</v>
      </c>
      <c r="Y256" s="68">
        <f t="shared" si="65"/>
        <v>0</v>
      </c>
      <c r="Z256" s="68">
        <f t="shared" si="66"/>
        <v>0</v>
      </c>
      <c r="AA256" s="68"/>
      <c r="AB256" s="68">
        <v>0</v>
      </c>
      <c r="AC256" s="69">
        <f t="shared" si="67"/>
        <v>0</v>
      </c>
      <c r="AD256" s="70">
        <v>0</v>
      </c>
      <c r="AE256" s="63">
        <v>40499</v>
      </c>
      <c r="AF256" s="72"/>
      <c r="AG256" s="63" t="s">
        <v>938</v>
      </c>
      <c r="AH256" s="23" t="s">
        <v>939</v>
      </c>
      <c r="AI256" s="60"/>
      <c r="AJ256" s="124" t="s">
        <v>1608</v>
      </c>
      <c r="AK256" s="121" t="s">
        <v>61</v>
      </c>
      <c r="AL256" s="107"/>
      <c r="AM256" s="108"/>
      <c r="AN256" s="109"/>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c r="CN256" s="110"/>
      <c r="CO256" s="111"/>
      <c r="CP256" s="110"/>
      <c r="CQ256" s="111"/>
      <c r="CR256" s="110"/>
      <c r="CS256" s="111"/>
      <c r="CT256" s="112">
        <f t="shared" si="68"/>
        <v>0</v>
      </c>
      <c r="CU256" s="113"/>
      <c r="CV256" s="114"/>
      <c r="CW256" s="115"/>
      <c r="CX256" s="116"/>
      <c r="CY256" s="117"/>
      <c r="CZ256" s="116"/>
      <c r="DA256" s="113"/>
      <c r="DB256" s="114"/>
      <c r="DC256" s="64"/>
      <c r="DD256" s="118"/>
    </row>
    <row r="257" spans="1:108" ht="60" outlineLevel="2">
      <c r="A257" s="178">
        <v>40498</v>
      </c>
      <c r="B257" s="164" t="s">
        <v>852</v>
      </c>
      <c r="C257" s="164" t="s">
        <v>957</v>
      </c>
      <c r="D257" s="166" t="s">
        <v>1262</v>
      </c>
      <c r="E257" s="163"/>
      <c r="F257" s="105"/>
      <c r="G257" s="105"/>
      <c r="H257" s="105">
        <v>4500</v>
      </c>
      <c r="I257" s="105">
        <v>900</v>
      </c>
      <c r="J257" s="105"/>
      <c r="K257" s="105">
        <v>900</v>
      </c>
      <c r="L257" s="105"/>
      <c r="M257" s="105"/>
      <c r="N257" s="105"/>
      <c r="O257" s="105"/>
      <c r="P257" s="105"/>
      <c r="Q257" s="105"/>
      <c r="R257" s="105"/>
      <c r="S257" s="105"/>
      <c r="T257" s="106"/>
      <c r="U257" s="130"/>
      <c r="V257" s="1"/>
      <c r="W257" s="68">
        <f t="shared" si="63"/>
        <v>0</v>
      </c>
      <c r="X257" s="68">
        <f t="shared" si="64"/>
        <v>0</v>
      </c>
      <c r="Y257" s="68">
        <f t="shared" si="65"/>
        <v>0</v>
      </c>
      <c r="Z257" s="68">
        <f t="shared" si="66"/>
        <v>0</v>
      </c>
      <c r="AA257" s="68"/>
      <c r="AB257" s="68">
        <v>0</v>
      </c>
      <c r="AC257" s="69">
        <f t="shared" si="67"/>
        <v>0</v>
      </c>
      <c r="AD257" s="70">
        <v>0</v>
      </c>
      <c r="AE257" s="63">
        <v>40499</v>
      </c>
      <c r="AF257" s="72"/>
      <c r="AG257" s="63" t="s">
        <v>938</v>
      </c>
      <c r="AH257" s="23" t="s">
        <v>939</v>
      </c>
      <c r="AI257" s="60"/>
      <c r="AJ257" s="124" t="s">
        <v>1608</v>
      </c>
      <c r="AK257" s="121" t="s">
        <v>66</v>
      </c>
      <c r="AL257" s="107"/>
      <c r="AM257" s="108"/>
      <c r="AN257" s="109"/>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10"/>
      <c r="CO257" s="111"/>
      <c r="CP257" s="110"/>
      <c r="CQ257" s="111"/>
      <c r="CR257" s="110"/>
      <c r="CS257" s="111"/>
      <c r="CT257" s="112">
        <f t="shared" si="68"/>
        <v>0</v>
      </c>
      <c r="CU257" s="113"/>
      <c r="CV257" s="114"/>
      <c r="CW257" s="115"/>
      <c r="CX257" s="116"/>
      <c r="CY257" s="117"/>
      <c r="CZ257" s="116"/>
      <c r="DA257" s="113"/>
      <c r="DB257" s="114"/>
      <c r="DC257" s="64"/>
      <c r="DD257" s="118"/>
    </row>
    <row r="258" spans="1:108" ht="24" outlineLevel="2">
      <c r="A258" s="178">
        <v>40499</v>
      </c>
      <c r="B258" s="164" t="s">
        <v>852</v>
      </c>
      <c r="C258" s="164" t="s">
        <v>957</v>
      </c>
      <c r="D258" s="166" t="s">
        <v>1262</v>
      </c>
      <c r="E258" s="163"/>
      <c r="F258" s="105"/>
      <c r="G258" s="105"/>
      <c r="H258" s="105">
        <v>1000</v>
      </c>
      <c r="I258" s="105">
        <v>200</v>
      </c>
      <c r="J258" s="105"/>
      <c r="K258" s="105">
        <v>200</v>
      </c>
      <c r="L258" s="105"/>
      <c r="M258" s="105"/>
      <c r="N258" s="105"/>
      <c r="O258" s="105"/>
      <c r="P258" s="105"/>
      <c r="Q258" s="105"/>
      <c r="R258" s="105"/>
      <c r="S258" s="105"/>
      <c r="T258" s="106"/>
      <c r="U258" s="130"/>
      <c r="V258" s="1"/>
      <c r="W258" s="68">
        <f t="shared" si="63"/>
        <v>0</v>
      </c>
      <c r="X258" s="68">
        <f t="shared" si="64"/>
        <v>0</v>
      </c>
      <c r="Y258" s="68">
        <f t="shared" si="65"/>
        <v>0</v>
      </c>
      <c r="Z258" s="68">
        <f t="shared" si="66"/>
        <v>0</v>
      </c>
      <c r="AA258" s="68"/>
      <c r="AB258" s="68">
        <v>0</v>
      </c>
      <c r="AC258" s="69">
        <f t="shared" si="67"/>
        <v>0</v>
      </c>
      <c r="AD258" s="70">
        <v>0</v>
      </c>
      <c r="AE258" s="63">
        <v>40500</v>
      </c>
      <c r="AF258" s="72"/>
      <c r="AG258" s="63" t="s">
        <v>938</v>
      </c>
      <c r="AH258" s="23" t="s">
        <v>939</v>
      </c>
      <c r="AI258" s="60"/>
      <c r="AJ258" s="124" t="s">
        <v>1608</v>
      </c>
      <c r="AK258" s="121" t="s">
        <v>67</v>
      </c>
      <c r="AL258" s="107"/>
      <c r="AM258" s="108"/>
      <c r="AN258" s="109"/>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c r="CN258" s="110"/>
      <c r="CO258" s="111"/>
      <c r="CP258" s="110"/>
      <c r="CQ258" s="111"/>
      <c r="CR258" s="110"/>
      <c r="CS258" s="111"/>
      <c r="CT258" s="112">
        <f t="shared" si="68"/>
        <v>0</v>
      </c>
      <c r="CU258" s="113"/>
      <c r="CV258" s="114"/>
      <c r="CW258" s="115"/>
      <c r="CX258" s="116"/>
      <c r="CY258" s="117"/>
      <c r="CZ258" s="116"/>
      <c r="DA258" s="113"/>
      <c r="DB258" s="114"/>
      <c r="DC258" s="64"/>
      <c r="DD258" s="118"/>
    </row>
    <row r="259" spans="1:108" ht="36" outlineLevel="2">
      <c r="A259" s="178">
        <v>40500</v>
      </c>
      <c r="B259" s="164" t="s">
        <v>852</v>
      </c>
      <c r="C259" s="164" t="s">
        <v>957</v>
      </c>
      <c r="D259" s="165" t="s">
        <v>1182</v>
      </c>
      <c r="E259" s="163"/>
      <c r="F259" s="105">
        <v>1</v>
      </c>
      <c r="G259" s="105"/>
      <c r="H259" s="105">
        <v>5</v>
      </c>
      <c r="I259" s="105">
        <v>1</v>
      </c>
      <c r="J259" s="105"/>
      <c r="K259" s="105">
        <v>1</v>
      </c>
      <c r="L259" s="105"/>
      <c r="M259" s="105"/>
      <c r="N259" s="105"/>
      <c r="O259" s="105"/>
      <c r="P259" s="105"/>
      <c r="Q259" s="105"/>
      <c r="R259" s="105"/>
      <c r="S259" s="105"/>
      <c r="T259" s="106"/>
      <c r="U259" s="130"/>
      <c r="V259" s="1"/>
      <c r="W259" s="68">
        <f t="shared" si="63"/>
        <v>0</v>
      </c>
      <c r="X259" s="68">
        <f t="shared" si="64"/>
        <v>0</v>
      </c>
      <c r="Y259" s="68">
        <f t="shared" si="65"/>
        <v>0</v>
      </c>
      <c r="Z259" s="68">
        <f t="shared" si="66"/>
        <v>0</v>
      </c>
      <c r="AA259" s="68"/>
      <c r="AB259" s="68">
        <v>0</v>
      </c>
      <c r="AC259" s="69">
        <f t="shared" si="67"/>
        <v>0</v>
      </c>
      <c r="AD259" s="70">
        <v>0</v>
      </c>
      <c r="AE259" s="63">
        <v>40505</v>
      </c>
      <c r="AF259" s="72"/>
      <c r="AG259" s="63" t="s">
        <v>938</v>
      </c>
      <c r="AH259" s="23" t="s">
        <v>939</v>
      </c>
      <c r="AI259" s="60"/>
      <c r="AJ259" s="124" t="s">
        <v>1608</v>
      </c>
      <c r="AK259" s="121" t="s">
        <v>717</v>
      </c>
      <c r="AL259" s="107"/>
      <c r="AM259" s="108"/>
      <c r="AN259" s="109"/>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c r="CN259" s="110"/>
      <c r="CO259" s="111"/>
      <c r="CP259" s="110"/>
      <c r="CQ259" s="111"/>
      <c r="CR259" s="110"/>
      <c r="CS259" s="111"/>
      <c r="CT259" s="112">
        <f t="shared" si="68"/>
        <v>0</v>
      </c>
      <c r="CU259" s="113"/>
      <c r="CV259" s="114"/>
      <c r="CW259" s="115"/>
      <c r="CX259" s="116"/>
      <c r="CY259" s="117"/>
      <c r="CZ259" s="116"/>
      <c r="DA259" s="113"/>
      <c r="DB259" s="114"/>
      <c r="DC259" s="64"/>
      <c r="DD259" s="118"/>
    </row>
    <row r="260" spans="1:108" ht="24" outlineLevel="2">
      <c r="A260" s="178">
        <v>40502</v>
      </c>
      <c r="B260" s="164" t="s">
        <v>852</v>
      </c>
      <c r="C260" s="164" t="s">
        <v>957</v>
      </c>
      <c r="D260" s="165" t="s">
        <v>1182</v>
      </c>
      <c r="E260" s="163"/>
      <c r="F260" s="105"/>
      <c r="G260" s="105"/>
      <c r="H260" s="105">
        <v>15</v>
      </c>
      <c r="I260" s="105">
        <v>3</v>
      </c>
      <c r="J260" s="105"/>
      <c r="K260" s="105">
        <v>3</v>
      </c>
      <c r="L260" s="105"/>
      <c r="M260" s="105"/>
      <c r="N260" s="105"/>
      <c r="O260" s="105"/>
      <c r="P260" s="105"/>
      <c r="Q260" s="105"/>
      <c r="R260" s="105"/>
      <c r="S260" s="105"/>
      <c r="T260" s="106"/>
      <c r="U260" s="130"/>
      <c r="V260" s="1"/>
      <c r="W260" s="68">
        <f t="shared" si="63"/>
        <v>0</v>
      </c>
      <c r="X260" s="68">
        <f t="shared" si="64"/>
        <v>0</v>
      </c>
      <c r="Y260" s="68">
        <f t="shared" si="65"/>
        <v>0</v>
      </c>
      <c r="Z260" s="68">
        <f t="shared" si="66"/>
        <v>0</v>
      </c>
      <c r="AA260" s="68"/>
      <c r="AB260" s="68">
        <v>0</v>
      </c>
      <c r="AC260" s="69">
        <f t="shared" si="67"/>
        <v>0</v>
      </c>
      <c r="AD260" s="70">
        <v>0</v>
      </c>
      <c r="AE260" s="63">
        <v>40504</v>
      </c>
      <c r="AF260" s="72"/>
      <c r="AG260" s="63" t="s">
        <v>938</v>
      </c>
      <c r="AH260" s="23" t="s">
        <v>939</v>
      </c>
      <c r="AI260" s="60"/>
      <c r="AJ260" s="124" t="s">
        <v>1608</v>
      </c>
      <c r="AK260" s="121" t="s">
        <v>660</v>
      </c>
      <c r="AL260" s="107"/>
      <c r="AM260" s="108"/>
      <c r="AN260" s="109"/>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10"/>
      <c r="CO260" s="111"/>
      <c r="CP260" s="110"/>
      <c r="CQ260" s="111"/>
      <c r="CR260" s="110"/>
      <c r="CS260" s="111"/>
      <c r="CT260" s="112">
        <f t="shared" si="68"/>
        <v>0</v>
      </c>
      <c r="CU260" s="113"/>
      <c r="CV260" s="114"/>
      <c r="CW260" s="115"/>
      <c r="CX260" s="116"/>
      <c r="CY260" s="117"/>
      <c r="CZ260" s="116"/>
      <c r="DA260" s="113"/>
      <c r="DB260" s="114"/>
      <c r="DC260" s="64"/>
      <c r="DD260" s="118"/>
    </row>
    <row r="261" spans="1:108" outlineLevel="2">
      <c r="A261" s="178">
        <v>40505</v>
      </c>
      <c r="B261" s="164" t="s">
        <v>852</v>
      </c>
      <c r="C261" s="164" t="s">
        <v>957</v>
      </c>
      <c r="D261" s="166" t="s">
        <v>1262</v>
      </c>
      <c r="E261" s="163"/>
      <c r="F261" s="105"/>
      <c r="G261" s="105"/>
      <c r="H261" s="105">
        <v>40</v>
      </c>
      <c r="I261" s="105">
        <v>8</v>
      </c>
      <c r="J261" s="105"/>
      <c r="K261" s="105">
        <v>8</v>
      </c>
      <c r="L261" s="105"/>
      <c r="M261" s="105"/>
      <c r="N261" s="105"/>
      <c r="O261" s="105"/>
      <c r="P261" s="105"/>
      <c r="Q261" s="105"/>
      <c r="R261" s="105"/>
      <c r="S261" s="105"/>
      <c r="T261" s="106"/>
      <c r="U261" s="130"/>
      <c r="V261" s="1"/>
      <c r="W261" s="68">
        <f t="shared" si="63"/>
        <v>0</v>
      </c>
      <c r="X261" s="68">
        <f t="shared" si="64"/>
        <v>0</v>
      </c>
      <c r="Y261" s="68">
        <f t="shared" si="65"/>
        <v>0</v>
      </c>
      <c r="Z261" s="68">
        <f t="shared" si="66"/>
        <v>0</v>
      </c>
      <c r="AA261" s="68"/>
      <c r="AB261" s="68">
        <v>0</v>
      </c>
      <c r="AC261" s="69">
        <f t="shared" si="67"/>
        <v>0</v>
      </c>
      <c r="AD261" s="70">
        <v>0</v>
      </c>
      <c r="AE261" s="63">
        <v>40506</v>
      </c>
      <c r="AF261" s="72"/>
      <c r="AG261" s="63" t="s">
        <v>938</v>
      </c>
      <c r="AH261" s="23" t="s">
        <v>939</v>
      </c>
      <c r="AI261" s="60"/>
      <c r="AJ261" s="124" t="s">
        <v>1608</v>
      </c>
      <c r="AK261" s="121" t="s">
        <v>1565</v>
      </c>
      <c r="AL261" s="107"/>
      <c r="AM261" s="108"/>
      <c r="AN261" s="109"/>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10"/>
      <c r="CO261" s="111"/>
      <c r="CP261" s="110"/>
      <c r="CQ261" s="111"/>
      <c r="CR261" s="110"/>
      <c r="CS261" s="111"/>
      <c r="CT261" s="112">
        <f t="shared" si="68"/>
        <v>0</v>
      </c>
      <c r="CU261" s="113"/>
      <c r="CV261" s="114"/>
      <c r="CW261" s="115"/>
      <c r="CX261" s="116"/>
      <c r="CY261" s="117"/>
      <c r="CZ261" s="116"/>
      <c r="DA261" s="113"/>
      <c r="DB261" s="114"/>
      <c r="DC261" s="64"/>
      <c r="DD261" s="118"/>
    </row>
    <row r="262" spans="1:108" ht="24" outlineLevel="2">
      <c r="A262" s="178">
        <v>40505</v>
      </c>
      <c r="B262" s="164" t="s">
        <v>852</v>
      </c>
      <c r="C262" s="164" t="s">
        <v>957</v>
      </c>
      <c r="D262" s="165" t="s">
        <v>1182</v>
      </c>
      <c r="E262" s="163"/>
      <c r="F262" s="105">
        <v>2</v>
      </c>
      <c r="G262" s="105"/>
      <c r="H262" s="105">
        <v>110</v>
      </c>
      <c r="I262" s="105">
        <v>22</v>
      </c>
      <c r="J262" s="105"/>
      <c r="K262" s="105">
        <v>20</v>
      </c>
      <c r="L262" s="105"/>
      <c r="M262" s="105"/>
      <c r="N262" s="105"/>
      <c r="O262" s="105"/>
      <c r="P262" s="105"/>
      <c r="Q262" s="105"/>
      <c r="R262" s="105"/>
      <c r="S262" s="105"/>
      <c r="T262" s="106"/>
      <c r="U262" s="130"/>
      <c r="V262" s="1"/>
      <c r="W262" s="68">
        <f t="shared" si="63"/>
        <v>0</v>
      </c>
      <c r="X262" s="68">
        <f t="shared" si="64"/>
        <v>0</v>
      </c>
      <c r="Y262" s="68">
        <f t="shared" si="65"/>
        <v>0</v>
      </c>
      <c r="Z262" s="68">
        <f t="shared" si="66"/>
        <v>0</v>
      </c>
      <c r="AA262" s="68"/>
      <c r="AB262" s="68">
        <v>0</v>
      </c>
      <c r="AC262" s="69">
        <f t="shared" si="67"/>
        <v>0</v>
      </c>
      <c r="AD262" s="70">
        <v>0</v>
      </c>
      <c r="AE262" s="63">
        <v>40506</v>
      </c>
      <c r="AF262" s="72"/>
      <c r="AG262" s="63" t="s">
        <v>938</v>
      </c>
      <c r="AH262" s="23" t="s">
        <v>939</v>
      </c>
      <c r="AI262" s="60"/>
      <c r="AJ262" s="124" t="s">
        <v>1608</v>
      </c>
      <c r="AK262" s="121" t="s">
        <v>295</v>
      </c>
      <c r="AL262" s="107"/>
      <c r="AM262" s="108"/>
      <c r="AN262" s="109"/>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10"/>
      <c r="CO262" s="111"/>
      <c r="CP262" s="110"/>
      <c r="CQ262" s="111"/>
      <c r="CR262" s="110"/>
      <c r="CS262" s="111"/>
      <c r="CT262" s="112">
        <f t="shared" si="68"/>
        <v>0</v>
      </c>
      <c r="CU262" s="113"/>
      <c r="CV262" s="114"/>
      <c r="CW262" s="115"/>
      <c r="CX262" s="116"/>
      <c r="CY262" s="117"/>
      <c r="CZ262" s="116"/>
      <c r="DA262" s="113"/>
      <c r="DB262" s="114"/>
      <c r="DC262" s="64"/>
      <c r="DD262" s="118"/>
    </row>
    <row r="263" spans="1:108" outlineLevel="2">
      <c r="A263" s="178">
        <v>40510</v>
      </c>
      <c r="B263" s="164" t="s">
        <v>852</v>
      </c>
      <c r="C263" s="164" t="s">
        <v>957</v>
      </c>
      <c r="D263" s="166" t="s">
        <v>1182</v>
      </c>
      <c r="E263" s="163"/>
      <c r="F263" s="105"/>
      <c r="G263" s="105"/>
      <c r="H263" s="105">
        <v>5</v>
      </c>
      <c r="I263" s="105">
        <v>1</v>
      </c>
      <c r="J263" s="105"/>
      <c r="K263" s="105">
        <v>1</v>
      </c>
      <c r="L263" s="105"/>
      <c r="M263" s="105"/>
      <c r="N263" s="105"/>
      <c r="O263" s="105"/>
      <c r="P263" s="105"/>
      <c r="Q263" s="105"/>
      <c r="R263" s="105"/>
      <c r="S263" s="105"/>
      <c r="T263" s="106"/>
      <c r="U263" s="130"/>
      <c r="V263" s="1"/>
      <c r="W263" s="68">
        <f t="shared" si="63"/>
        <v>0</v>
      </c>
      <c r="X263" s="68">
        <f t="shared" si="64"/>
        <v>0</v>
      </c>
      <c r="Y263" s="68">
        <f t="shared" si="65"/>
        <v>0</v>
      </c>
      <c r="Z263" s="68">
        <f t="shared" si="66"/>
        <v>0</v>
      </c>
      <c r="AA263" s="68"/>
      <c r="AB263" s="68">
        <v>0</v>
      </c>
      <c r="AC263" s="69">
        <f t="shared" si="67"/>
        <v>0</v>
      </c>
      <c r="AD263" s="70">
        <v>0</v>
      </c>
      <c r="AE263" s="63">
        <v>40512</v>
      </c>
      <c r="AF263" s="72"/>
      <c r="AG263" s="63" t="s">
        <v>938</v>
      </c>
      <c r="AH263" s="23" t="s">
        <v>939</v>
      </c>
      <c r="AI263" s="60"/>
      <c r="AJ263" s="124" t="s">
        <v>1608</v>
      </c>
      <c r="AK263" s="121" t="s">
        <v>2073</v>
      </c>
      <c r="AL263" s="107"/>
      <c r="AM263" s="108"/>
      <c r="AN263" s="109"/>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10"/>
      <c r="CO263" s="111"/>
      <c r="CP263" s="110"/>
      <c r="CQ263" s="111"/>
      <c r="CR263" s="110"/>
      <c r="CS263" s="111"/>
      <c r="CT263" s="112">
        <f t="shared" si="68"/>
        <v>0</v>
      </c>
      <c r="CU263" s="113"/>
      <c r="CV263" s="114"/>
      <c r="CW263" s="115"/>
      <c r="CX263" s="116"/>
      <c r="CY263" s="117"/>
      <c r="CZ263" s="116"/>
      <c r="DA263" s="113"/>
      <c r="DB263" s="114"/>
      <c r="DC263" s="64"/>
      <c r="DD263" s="118"/>
    </row>
    <row r="264" spans="1:108" ht="24" outlineLevel="2">
      <c r="A264" s="178">
        <v>40512</v>
      </c>
      <c r="B264" s="164" t="s">
        <v>852</v>
      </c>
      <c r="C264" s="164" t="s">
        <v>957</v>
      </c>
      <c r="D264" s="166" t="s">
        <v>1182</v>
      </c>
      <c r="E264" s="163"/>
      <c r="F264" s="105"/>
      <c r="G264" s="105"/>
      <c r="H264" s="105">
        <v>240</v>
      </c>
      <c r="I264" s="105">
        <v>48</v>
      </c>
      <c r="J264" s="105"/>
      <c r="K264" s="105">
        <v>48</v>
      </c>
      <c r="L264" s="105"/>
      <c r="M264" s="105"/>
      <c r="N264" s="105"/>
      <c r="O264" s="105"/>
      <c r="P264" s="105"/>
      <c r="Q264" s="105"/>
      <c r="R264" s="105"/>
      <c r="S264" s="105"/>
      <c r="T264" s="106"/>
      <c r="U264" s="130"/>
      <c r="V264" s="1"/>
      <c r="W264" s="68">
        <f t="shared" si="63"/>
        <v>0</v>
      </c>
      <c r="X264" s="68">
        <f t="shared" si="64"/>
        <v>0</v>
      </c>
      <c r="Y264" s="68">
        <f t="shared" si="65"/>
        <v>0</v>
      </c>
      <c r="Z264" s="68">
        <f t="shared" si="66"/>
        <v>0</v>
      </c>
      <c r="AA264" s="68"/>
      <c r="AB264" s="68">
        <v>0</v>
      </c>
      <c r="AC264" s="69">
        <f t="shared" si="67"/>
        <v>0</v>
      </c>
      <c r="AD264" s="70">
        <v>0</v>
      </c>
      <c r="AE264" s="63">
        <v>40513</v>
      </c>
      <c r="AF264" s="72"/>
      <c r="AG264" s="63" t="s">
        <v>938</v>
      </c>
      <c r="AH264" s="23" t="s">
        <v>939</v>
      </c>
      <c r="AI264" s="60"/>
      <c r="AJ264" s="124" t="s">
        <v>1608</v>
      </c>
      <c r="AK264" s="121" t="s">
        <v>2110</v>
      </c>
      <c r="AL264" s="107"/>
      <c r="AM264" s="108"/>
      <c r="AN264" s="109"/>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10"/>
      <c r="CO264" s="111"/>
      <c r="CP264" s="110"/>
      <c r="CQ264" s="111"/>
      <c r="CR264" s="110"/>
      <c r="CS264" s="111"/>
      <c r="CT264" s="112">
        <f t="shared" si="68"/>
        <v>0</v>
      </c>
      <c r="CU264" s="113"/>
      <c r="CV264" s="114"/>
      <c r="CW264" s="115"/>
      <c r="CX264" s="116"/>
      <c r="CY264" s="117"/>
      <c r="CZ264" s="116"/>
      <c r="DA264" s="113"/>
      <c r="DB264" s="114"/>
      <c r="DC264" s="64"/>
      <c r="DD264" s="118"/>
    </row>
    <row r="265" spans="1:108" ht="36" outlineLevel="2">
      <c r="A265" s="178">
        <v>40512</v>
      </c>
      <c r="B265" s="164" t="s">
        <v>852</v>
      </c>
      <c r="C265" s="164" t="s">
        <v>957</v>
      </c>
      <c r="D265" s="166" t="s">
        <v>1182</v>
      </c>
      <c r="E265" s="163"/>
      <c r="F265" s="105"/>
      <c r="G265" s="105"/>
      <c r="H265" s="105">
        <v>100</v>
      </c>
      <c r="I265" s="105">
        <v>20</v>
      </c>
      <c r="J265" s="105"/>
      <c r="K265" s="105">
        <v>20</v>
      </c>
      <c r="L265" s="105"/>
      <c r="M265" s="105"/>
      <c r="N265" s="105"/>
      <c r="O265" s="105"/>
      <c r="P265" s="105"/>
      <c r="Q265" s="105"/>
      <c r="R265" s="105"/>
      <c r="S265" s="105"/>
      <c r="T265" s="106"/>
      <c r="U265" s="130"/>
      <c r="V265" s="1"/>
      <c r="W265" s="68">
        <f t="shared" si="63"/>
        <v>0</v>
      </c>
      <c r="X265" s="68">
        <f t="shared" si="64"/>
        <v>0</v>
      </c>
      <c r="Y265" s="68">
        <f t="shared" si="65"/>
        <v>0</v>
      </c>
      <c r="Z265" s="68">
        <f t="shared" si="66"/>
        <v>0</v>
      </c>
      <c r="AA265" s="68"/>
      <c r="AB265" s="68">
        <v>0</v>
      </c>
      <c r="AC265" s="69">
        <f t="shared" si="67"/>
        <v>0</v>
      </c>
      <c r="AD265" s="70">
        <v>0</v>
      </c>
      <c r="AE265" s="63"/>
      <c r="AF265" s="72"/>
      <c r="AG265" s="63"/>
      <c r="AH265" s="23"/>
      <c r="AI265" s="60"/>
      <c r="AJ265" s="124"/>
      <c r="AK265" s="121" t="s">
        <v>2187</v>
      </c>
      <c r="AL265" s="107"/>
      <c r="AM265" s="108"/>
      <c r="AN265" s="109"/>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10"/>
      <c r="CO265" s="111"/>
      <c r="CP265" s="110"/>
      <c r="CQ265" s="111"/>
      <c r="CR265" s="110"/>
      <c r="CS265" s="111"/>
      <c r="CT265" s="112">
        <f t="shared" si="68"/>
        <v>0</v>
      </c>
      <c r="CU265" s="113"/>
      <c r="CV265" s="114"/>
      <c r="CW265" s="115"/>
      <c r="CX265" s="116"/>
      <c r="CY265" s="117"/>
      <c r="CZ265" s="116"/>
      <c r="DA265" s="113"/>
      <c r="DB265" s="114"/>
      <c r="DC265" s="64"/>
      <c r="DD265" s="118"/>
    </row>
    <row r="266" spans="1:108" ht="48" outlineLevel="2">
      <c r="A266" s="178">
        <v>40513</v>
      </c>
      <c r="B266" s="164" t="s">
        <v>852</v>
      </c>
      <c r="C266" s="164" t="s">
        <v>957</v>
      </c>
      <c r="D266" s="166" t="s">
        <v>1182</v>
      </c>
      <c r="E266" s="163"/>
      <c r="F266" s="105"/>
      <c r="G266" s="105"/>
      <c r="H266" s="105">
        <v>52</v>
      </c>
      <c r="I266" s="105">
        <v>10</v>
      </c>
      <c r="J266" s="105"/>
      <c r="K266" s="105">
        <v>8</v>
      </c>
      <c r="L266" s="105"/>
      <c r="M266" s="105"/>
      <c r="N266" s="105"/>
      <c r="O266" s="105"/>
      <c r="P266" s="105"/>
      <c r="Q266" s="105"/>
      <c r="R266" s="105"/>
      <c r="S266" s="105"/>
      <c r="T266" s="106"/>
      <c r="U266" s="130"/>
      <c r="V266" s="1"/>
      <c r="W266" s="68">
        <f t="shared" si="63"/>
        <v>0</v>
      </c>
      <c r="X266" s="68">
        <f t="shared" si="64"/>
        <v>0</v>
      </c>
      <c r="Y266" s="68">
        <f t="shared" si="65"/>
        <v>0</v>
      </c>
      <c r="Z266" s="68">
        <f t="shared" si="66"/>
        <v>0</v>
      </c>
      <c r="AA266" s="68"/>
      <c r="AB266" s="68">
        <v>0</v>
      </c>
      <c r="AC266" s="69">
        <f t="shared" si="67"/>
        <v>0</v>
      </c>
      <c r="AD266" s="70">
        <v>0</v>
      </c>
      <c r="AE266" s="63"/>
      <c r="AF266" s="72"/>
      <c r="AG266" s="63"/>
      <c r="AH266" s="23"/>
      <c r="AI266" s="60"/>
      <c r="AJ266" s="124"/>
      <c r="AK266" s="121" t="s">
        <v>2121</v>
      </c>
      <c r="AL266" s="107"/>
      <c r="AM266" s="108"/>
      <c r="AN266" s="109"/>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10"/>
      <c r="CO266" s="111"/>
      <c r="CP266" s="110"/>
      <c r="CQ266" s="111"/>
      <c r="CR266" s="110"/>
      <c r="CS266" s="111"/>
      <c r="CT266" s="112">
        <f t="shared" si="68"/>
        <v>0</v>
      </c>
      <c r="CU266" s="113"/>
      <c r="CV266" s="114"/>
      <c r="CW266" s="115"/>
      <c r="CX266" s="116"/>
      <c r="CY266" s="117"/>
      <c r="CZ266" s="116"/>
      <c r="DA266" s="113"/>
      <c r="DB266" s="114"/>
      <c r="DC266" s="64"/>
      <c r="DD266" s="118"/>
    </row>
    <row r="267" spans="1:108" ht="24" outlineLevel="2">
      <c r="A267" s="178">
        <v>40513</v>
      </c>
      <c r="B267" s="164" t="s">
        <v>852</v>
      </c>
      <c r="C267" s="164" t="s">
        <v>957</v>
      </c>
      <c r="D267" s="166" t="s">
        <v>1262</v>
      </c>
      <c r="E267" s="163"/>
      <c r="F267" s="105"/>
      <c r="G267" s="105"/>
      <c r="H267" s="105">
        <v>185</v>
      </c>
      <c r="I267" s="105">
        <v>37</v>
      </c>
      <c r="J267" s="105"/>
      <c r="K267" s="105">
        <v>37</v>
      </c>
      <c r="L267" s="105"/>
      <c r="M267" s="105"/>
      <c r="N267" s="105"/>
      <c r="O267" s="105"/>
      <c r="P267" s="105"/>
      <c r="Q267" s="105"/>
      <c r="R267" s="105"/>
      <c r="S267" s="105"/>
      <c r="T267" s="106"/>
      <c r="U267" s="130"/>
      <c r="V267" s="1"/>
      <c r="W267" s="68">
        <f t="shared" si="63"/>
        <v>0</v>
      </c>
      <c r="X267" s="68">
        <f t="shared" si="64"/>
        <v>0</v>
      </c>
      <c r="Y267" s="68">
        <f t="shared" si="65"/>
        <v>0</v>
      </c>
      <c r="Z267" s="68">
        <f t="shared" si="66"/>
        <v>0</v>
      </c>
      <c r="AA267" s="68"/>
      <c r="AB267" s="68">
        <v>0</v>
      </c>
      <c r="AC267" s="69">
        <f t="shared" si="67"/>
        <v>0</v>
      </c>
      <c r="AD267" s="70">
        <v>0</v>
      </c>
      <c r="AE267" s="63"/>
      <c r="AF267" s="72"/>
      <c r="AG267" s="63"/>
      <c r="AH267" s="23"/>
      <c r="AI267" s="60"/>
      <c r="AJ267" s="124"/>
      <c r="AK267" s="121" t="s">
        <v>2122</v>
      </c>
      <c r="AL267" s="107"/>
      <c r="AM267" s="108"/>
      <c r="AN267" s="109"/>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10"/>
      <c r="CO267" s="111"/>
      <c r="CP267" s="110"/>
      <c r="CQ267" s="111"/>
      <c r="CR267" s="110"/>
      <c r="CS267" s="111"/>
      <c r="CT267" s="112">
        <f t="shared" si="68"/>
        <v>0</v>
      </c>
      <c r="CU267" s="113"/>
      <c r="CV267" s="114"/>
      <c r="CW267" s="115"/>
      <c r="CX267" s="116"/>
      <c r="CY267" s="117"/>
      <c r="CZ267" s="116"/>
      <c r="DA267" s="113"/>
      <c r="DB267" s="114"/>
      <c r="DC267" s="64"/>
      <c r="DD267" s="118"/>
    </row>
    <row r="268" spans="1:108" ht="24" outlineLevel="2">
      <c r="A268" s="178">
        <v>40514</v>
      </c>
      <c r="B268" s="164" t="s">
        <v>852</v>
      </c>
      <c r="C268" s="164" t="s">
        <v>957</v>
      </c>
      <c r="D268" s="166" t="s">
        <v>1182</v>
      </c>
      <c r="E268" s="163"/>
      <c r="F268" s="105"/>
      <c r="G268" s="105"/>
      <c r="H268" s="105">
        <v>10</v>
      </c>
      <c r="I268" s="105">
        <v>2</v>
      </c>
      <c r="J268" s="105"/>
      <c r="K268" s="105">
        <v>2</v>
      </c>
      <c r="L268" s="105"/>
      <c r="M268" s="105"/>
      <c r="N268" s="105"/>
      <c r="O268" s="105"/>
      <c r="P268" s="105"/>
      <c r="Q268" s="105"/>
      <c r="R268" s="105"/>
      <c r="S268" s="105"/>
      <c r="T268" s="106"/>
      <c r="U268" s="130"/>
      <c r="V268" s="1"/>
      <c r="W268" s="68">
        <f t="shared" si="63"/>
        <v>0</v>
      </c>
      <c r="X268" s="68">
        <f t="shared" si="64"/>
        <v>0</v>
      </c>
      <c r="Y268" s="68">
        <f t="shared" si="65"/>
        <v>0</v>
      </c>
      <c r="Z268" s="68">
        <f t="shared" si="66"/>
        <v>0</v>
      </c>
      <c r="AA268" s="68"/>
      <c r="AB268" s="68">
        <v>0</v>
      </c>
      <c r="AC268" s="69">
        <f t="shared" si="67"/>
        <v>0</v>
      </c>
      <c r="AD268" s="70">
        <v>0</v>
      </c>
      <c r="AE268" s="63"/>
      <c r="AF268" s="72"/>
      <c r="AG268" s="63"/>
      <c r="AH268" s="23"/>
      <c r="AI268" s="60"/>
      <c r="AJ268" s="124"/>
      <c r="AK268" s="121" t="s">
        <v>2188</v>
      </c>
      <c r="AL268" s="107"/>
      <c r="AM268" s="108"/>
      <c r="AN268" s="109"/>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10"/>
      <c r="CO268" s="111"/>
      <c r="CP268" s="110"/>
      <c r="CQ268" s="111"/>
      <c r="CR268" s="110"/>
      <c r="CS268" s="111"/>
      <c r="CT268" s="112">
        <f t="shared" si="68"/>
        <v>0</v>
      </c>
      <c r="CU268" s="113"/>
      <c r="CV268" s="114"/>
      <c r="CW268" s="115"/>
      <c r="CX268" s="116"/>
      <c r="CY268" s="117"/>
      <c r="CZ268" s="116"/>
      <c r="DA268" s="113"/>
      <c r="DB268" s="114"/>
      <c r="DC268" s="64"/>
      <c r="DD268" s="118"/>
    </row>
    <row r="269" spans="1:108" ht="36" outlineLevel="2">
      <c r="A269" s="178">
        <v>40515</v>
      </c>
      <c r="B269" s="164" t="s">
        <v>852</v>
      </c>
      <c r="C269" s="164" t="s">
        <v>957</v>
      </c>
      <c r="D269" s="166" t="s">
        <v>1262</v>
      </c>
      <c r="E269" s="163"/>
      <c r="F269" s="105"/>
      <c r="G269" s="105"/>
      <c r="H269" s="105">
        <v>320</v>
      </c>
      <c r="I269" s="105">
        <v>64</v>
      </c>
      <c r="J269" s="105"/>
      <c r="K269" s="105">
        <v>64</v>
      </c>
      <c r="L269" s="105"/>
      <c r="M269" s="105"/>
      <c r="N269" s="105"/>
      <c r="O269" s="105"/>
      <c r="P269" s="105"/>
      <c r="Q269" s="105"/>
      <c r="R269" s="105"/>
      <c r="S269" s="105"/>
      <c r="T269" s="106"/>
      <c r="U269" s="130"/>
      <c r="V269" s="1"/>
      <c r="W269" s="68">
        <f t="shared" si="63"/>
        <v>0</v>
      </c>
      <c r="X269" s="68">
        <f t="shared" si="64"/>
        <v>0</v>
      </c>
      <c r="Y269" s="68">
        <f t="shared" si="65"/>
        <v>0</v>
      </c>
      <c r="Z269" s="68">
        <f t="shared" si="66"/>
        <v>0</v>
      </c>
      <c r="AA269" s="68"/>
      <c r="AB269" s="68">
        <v>0</v>
      </c>
      <c r="AC269" s="69">
        <f t="shared" si="67"/>
        <v>0</v>
      </c>
      <c r="AD269" s="70">
        <v>0</v>
      </c>
      <c r="AE269" s="63"/>
      <c r="AF269" s="72"/>
      <c r="AG269" s="63"/>
      <c r="AH269" s="23"/>
      <c r="AI269" s="60"/>
      <c r="AJ269" s="124"/>
      <c r="AK269" s="121" t="s">
        <v>2203</v>
      </c>
      <c r="AL269" s="107"/>
      <c r="AM269" s="108"/>
      <c r="AN269" s="109"/>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10"/>
      <c r="CO269" s="111"/>
      <c r="CP269" s="110"/>
      <c r="CQ269" s="111"/>
      <c r="CR269" s="110"/>
      <c r="CS269" s="111"/>
      <c r="CT269" s="112">
        <f t="shared" si="68"/>
        <v>0</v>
      </c>
      <c r="CU269" s="113"/>
      <c r="CV269" s="114"/>
      <c r="CW269" s="115"/>
      <c r="CX269" s="116"/>
      <c r="CY269" s="117"/>
      <c r="CZ269" s="116"/>
      <c r="DA269" s="113"/>
      <c r="DB269" s="114"/>
      <c r="DC269" s="64"/>
      <c r="DD269" s="118"/>
    </row>
    <row r="270" spans="1:108" ht="60" outlineLevel="2">
      <c r="A270" s="178">
        <v>40515</v>
      </c>
      <c r="B270" s="164" t="s">
        <v>852</v>
      </c>
      <c r="C270" s="164" t="s">
        <v>957</v>
      </c>
      <c r="D270" s="166" t="s">
        <v>1182</v>
      </c>
      <c r="E270" s="163"/>
      <c r="F270" s="105"/>
      <c r="G270" s="105"/>
      <c r="H270" s="105">
        <v>155</v>
      </c>
      <c r="I270" s="105">
        <v>31</v>
      </c>
      <c r="J270" s="105"/>
      <c r="K270" s="105">
        <v>31</v>
      </c>
      <c r="L270" s="105"/>
      <c r="M270" s="105"/>
      <c r="N270" s="105"/>
      <c r="O270" s="105"/>
      <c r="P270" s="105"/>
      <c r="Q270" s="105"/>
      <c r="R270" s="105"/>
      <c r="S270" s="105"/>
      <c r="T270" s="106"/>
      <c r="U270" s="130"/>
      <c r="V270" s="1"/>
      <c r="W270" s="68">
        <f t="shared" si="63"/>
        <v>0</v>
      </c>
      <c r="X270" s="68">
        <f t="shared" si="64"/>
        <v>0</v>
      </c>
      <c r="Y270" s="68">
        <f t="shared" si="65"/>
        <v>0</v>
      </c>
      <c r="Z270" s="68">
        <f t="shared" si="66"/>
        <v>0</v>
      </c>
      <c r="AA270" s="68"/>
      <c r="AB270" s="68">
        <v>0</v>
      </c>
      <c r="AC270" s="69">
        <f t="shared" si="67"/>
        <v>0</v>
      </c>
      <c r="AD270" s="70">
        <v>0</v>
      </c>
      <c r="AE270" s="63"/>
      <c r="AF270" s="72"/>
      <c r="AG270" s="63"/>
      <c r="AH270" s="23"/>
      <c r="AI270" s="60"/>
      <c r="AJ270" s="124"/>
      <c r="AK270" s="121" t="s">
        <v>2202</v>
      </c>
      <c r="AL270" s="107"/>
      <c r="AM270" s="108"/>
      <c r="AN270" s="109"/>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10"/>
      <c r="CO270" s="111"/>
      <c r="CP270" s="110"/>
      <c r="CQ270" s="111"/>
      <c r="CR270" s="110"/>
      <c r="CS270" s="111"/>
      <c r="CT270" s="112">
        <f t="shared" si="68"/>
        <v>0</v>
      </c>
      <c r="CU270" s="113"/>
      <c r="CV270" s="114"/>
      <c r="CW270" s="115"/>
      <c r="CX270" s="116"/>
      <c r="CY270" s="117"/>
      <c r="CZ270" s="116"/>
      <c r="DA270" s="113"/>
      <c r="DB270" s="114"/>
      <c r="DC270" s="64"/>
      <c r="DD270" s="118"/>
    </row>
    <row r="271" spans="1:108" ht="60" outlineLevel="2">
      <c r="A271" s="178">
        <v>40518</v>
      </c>
      <c r="B271" s="164" t="s">
        <v>852</v>
      </c>
      <c r="C271" s="164" t="s">
        <v>957</v>
      </c>
      <c r="D271" s="166" t="s">
        <v>1182</v>
      </c>
      <c r="E271" s="163"/>
      <c r="F271" s="105"/>
      <c r="G271" s="105"/>
      <c r="H271" s="105">
        <v>370</v>
      </c>
      <c r="I271" s="105">
        <v>74</v>
      </c>
      <c r="J271" s="105">
        <v>8</v>
      </c>
      <c r="K271" s="105">
        <v>66</v>
      </c>
      <c r="L271" s="105"/>
      <c r="M271" s="105"/>
      <c r="N271" s="105"/>
      <c r="O271" s="105"/>
      <c r="P271" s="105"/>
      <c r="Q271" s="105"/>
      <c r="R271" s="105"/>
      <c r="S271" s="105"/>
      <c r="T271" s="106"/>
      <c r="U271" s="130"/>
      <c r="V271" s="1"/>
      <c r="W271" s="68">
        <f t="shared" si="63"/>
        <v>0</v>
      </c>
      <c r="X271" s="68">
        <f t="shared" si="64"/>
        <v>0</v>
      </c>
      <c r="Y271" s="68">
        <f t="shared" si="65"/>
        <v>0</v>
      </c>
      <c r="Z271" s="68">
        <f t="shared" si="66"/>
        <v>0</v>
      </c>
      <c r="AA271" s="68"/>
      <c r="AB271" s="68">
        <v>0</v>
      </c>
      <c r="AC271" s="69">
        <f t="shared" si="67"/>
        <v>0</v>
      </c>
      <c r="AD271" s="70">
        <v>0</v>
      </c>
      <c r="AE271" s="63"/>
      <c r="AF271" s="72"/>
      <c r="AG271" s="63"/>
      <c r="AH271" s="23"/>
      <c r="AI271" s="60"/>
      <c r="AJ271" s="124"/>
      <c r="AK271" s="121" t="s">
        <v>164</v>
      </c>
      <c r="AL271" s="107"/>
      <c r="AM271" s="108"/>
      <c r="AN271" s="109"/>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10"/>
      <c r="CO271" s="111"/>
      <c r="CP271" s="110"/>
      <c r="CQ271" s="111"/>
      <c r="CR271" s="110"/>
      <c r="CS271" s="111"/>
      <c r="CT271" s="112">
        <f t="shared" si="68"/>
        <v>0</v>
      </c>
      <c r="CU271" s="113"/>
      <c r="CV271" s="114"/>
      <c r="CW271" s="115"/>
      <c r="CX271" s="116"/>
      <c r="CY271" s="117"/>
      <c r="CZ271" s="116"/>
      <c r="DA271" s="113"/>
      <c r="DB271" s="114"/>
      <c r="DC271" s="64"/>
      <c r="DD271" s="118"/>
    </row>
    <row r="272" spans="1:108" ht="22.5" outlineLevel="1">
      <c r="A272" s="178"/>
      <c r="B272" s="192" t="s">
        <v>2441</v>
      </c>
      <c r="C272" s="164"/>
      <c r="D272" s="166"/>
      <c r="E272" s="163">
        <f t="shared" ref="E272:T272" si="69">SUBTOTAL(9,E213:E271)</f>
        <v>8</v>
      </c>
      <c r="F272" s="105">
        <f t="shared" si="69"/>
        <v>21</v>
      </c>
      <c r="G272" s="105">
        <f t="shared" si="69"/>
        <v>0</v>
      </c>
      <c r="H272" s="105">
        <f t="shared" si="69"/>
        <v>14556</v>
      </c>
      <c r="I272" s="105">
        <f t="shared" si="69"/>
        <v>2956</v>
      </c>
      <c r="J272" s="105">
        <f t="shared" si="69"/>
        <v>11</v>
      </c>
      <c r="K272" s="105">
        <f t="shared" si="69"/>
        <v>2228</v>
      </c>
      <c r="L272" s="105">
        <f t="shared" si="69"/>
        <v>1</v>
      </c>
      <c r="M272" s="105">
        <f t="shared" si="69"/>
        <v>0</v>
      </c>
      <c r="N272" s="105">
        <f t="shared" si="69"/>
        <v>0</v>
      </c>
      <c r="O272" s="105">
        <f t="shared" si="69"/>
        <v>0</v>
      </c>
      <c r="P272" s="105">
        <f t="shared" si="69"/>
        <v>0</v>
      </c>
      <c r="Q272" s="105">
        <f t="shared" si="69"/>
        <v>0</v>
      </c>
      <c r="R272" s="105">
        <f t="shared" si="69"/>
        <v>2</v>
      </c>
      <c r="S272" s="105">
        <f t="shared" si="69"/>
        <v>0</v>
      </c>
      <c r="T272" s="106">
        <f t="shared" si="69"/>
        <v>0</v>
      </c>
      <c r="U272" s="130"/>
      <c r="V272" s="1"/>
      <c r="W272" s="68">
        <f t="shared" ref="W272:AD272" si="70">SUBTOTAL(9,W213:W271)</f>
        <v>0</v>
      </c>
      <c r="X272" s="68">
        <f t="shared" si="70"/>
        <v>0</v>
      </c>
      <c r="Y272" s="68">
        <f t="shared" si="70"/>
        <v>0</v>
      </c>
      <c r="Z272" s="68">
        <f t="shared" si="70"/>
        <v>0</v>
      </c>
      <c r="AA272" s="68">
        <f t="shared" si="70"/>
        <v>0</v>
      </c>
      <c r="AB272" s="68">
        <f t="shared" si="70"/>
        <v>0</v>
      </c>
      <c r="AC272" s="69">
        <f t="shared" si="70"/>
        <v>0</v>
      </c>
      <c r="AD272" s="70">
        <f t="shared" si="70"/>
        <v>0</v>
      </c>
      <c r="AE272" s="63"/>
      <c r="AF272" s="72"/>
      <c r="AG272" s="63"/>
      <c r="AH272" s="23"/>
      <c r="AI272" s="60"/>
      <c r="AJ272" s="124"/>
      <c r="AK272" s="121"/>
      <c r="AL272" s="107"/>
      <c r="AM272" s="108"/>
      <c r="AN272" s="109"/>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10"/>
      <c r="CO272" s="111"/>
      <c r="CP272" s="110"/>
      <c r="CQ272" s="111"/>
      <c r="CR272" s="110"/>
      <c r="CS272" s="111"/>
      <c r="CT272" s="112"/>
      <c r="CU272" s="113"/>
      <c r="CV272" s="114"/>
      <c r="CW272" s="115"/>
      <c r="CX272" s="116"/>
      <c r="CY272" s="117"/>
      <c r="CZ272" s="116"/>
      <c r="DA272" s="113"/>
      <c r="DB272" s="114"/>
      <c r="DC272" s="64"/>
      <c r="DD272" s="118"/>
    </row>
    <row r="273" spans="1:108" ht="45" outlineLevel="2">
      <c r="A273" s="178">
        <v>40320</v>
      </c>
      <c r="B273" s="82" t="s">
        <v>960</v>
      </c>
      <c r="C273" s="82" t="s">
        <v>923</v>
      </c>
      <c r="D273" s="165" t="s">
        <v>435</v>
      </c>
      <c r="E273" s="167"/>
      <c r="F273" s="66"/>
      <c r="G273" s="66"/>
      <c r="H273" s="66">
        <f>44*5</f>
        <v>220</v>
      </c>
      <c r="I273" s="66">
        <v>44</v>
      </c>
      <c r="J273" s="66"/>
      <c r="K273" s="66">
        <v>44</v>
      </c>
      <c r="L273" s="66"/>
      <c r="M273" s="66"/>
      <c r="N273" s="66"/>
      <c r="O273" s="66"/>
      <c r="P273" s="66"/>
      <c r="Q273" s="66"/>
      <c r="R273" s="66"/>
      <c r="S273" s="66"/>
      <c r="T273" s="67"/>
      <c r="U273" s="151"/>
      <c r="V273" s="1">
        <v>40368</v>
      </c>
      <c r="W273" s="68">
        <f t="shared" ref="W273:W304" si="71">CT273</f>
        <v>0</v>
      </c>
      <c r="X273" s="68">
        <f t="shared" ref="X273:X304" si="72">CX273</f>
        <v>0</v>
      </c>
      <c r="Y273" s="68">
        <f t="shared" ref="Y273:Y304" si="73">CZ273+DB273</f>
        <v>21269704</v>
      </c>
      <c r="Z273" s="68">
        <f t="shared" ref="Z273:Z304" si="74">CV273</f>
        <v>0</v>
      </c>
      <c r="AA273" s="68"/>
      <c r="AB273" s="68">
        <v>0</v>
      </c>
      <c r="AC273" s="69">
        <f t="shared" ref="AC273:AC304" si="75">W273+X273+Y273+Z273+AA273+AB273</f>
        <v>21269704</v>
      </c>
      <c r="AD273" s="70">
        <v>0</v>
      </c>
      <c r="AE273" s="63">
        <v>40347</v>
      </c>
      <c r="AF273" s="72">
        <v>98360</v>
      </c>
      <c r="AG273" s="63" t="s">
        <v>954</v>
      </c>
      <c r="AH273" s="23" t="s">
        <v>955</v>
      </c>
      <c r="AI273" s="60">
        <v>194</v>
      </c>
      <c r="AJ273" s="133" t="s">
        <v>415</v>
      </c>
      <c r="AK273" s="73" t="s">
        <v>1651</v>
      </c>
      <c r="AL273" s="3"/>
      <c r="AM273" s="4"/>
      <c r="AN273" s="5"/>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6"/>
      <c r="CO273" s="7"/>
      <c r="CP273" s="6"/>
      <c r="CQ273" s="7"/>
      <c r="CR273" s="6"/>
      <c r="CS273" s="7"/>
      <c r="CT273" s="8">
        <f t="shared" ref="CT273:CT304" si="76">AM273+AO273+AQ273+AS273+AU273+AW273+AY273+BA273+BC273+BE273+BG273+BI273+BK273+BM273+BO273+BQ273+BS273+BU273+BW273+BY273+CA273+CC273+CE273+CG273+CI273+CK273+CM273+CO273+CQ273+CS273</f>
        <v>0</v>
      </c>
      <c r="CU273" s="9"/>
      <c r="CV273" s="10"/>
      <c r="CW273" s="11"/>
      <c r="CX273" s="12"/>
      <c r="CY273" s="26"/>
      <c r="CZ273" s="12"/>
      <c r="DA273" s="9">
        <v>883</v>
      </c>
      <c r="DB273" s="10">
        <f>883*22000+5298*348</f>
        <v>21269704</v>
      </c>
      <c r="DC273" s="64"/>
    </row>
    <row r="274" spans="1:108" ht="24" outlineLevel="2">
      <c r="A274" s="178">
        <v>40322</v>
      </c>
      <c r="B274" s="82" t="s">
        <v>960</v>
      </c>
      <c r="C274" s="82" t="s">
        <v>921</v>
      </c>
      <c r="D274" s="165" t="s">
        <v>1876</v>
      </c>
      <c r="E274" s="167"/>
      <c r="F274" s="66"/>
      <c r="G274" s="66"/>
      <c r="H274" s="66"/>
      <c r="I274" s="66"/>
      <c r="J274" s="66"/>
      <c r="K274" s="66"/>
      <c r="L274" s="66"/>
      <c r="M274" s="66">
        <v>1</v>
      </c>
      <c r="N274" s="66"/>
      <c r="O274" s="66"/>
      <c r="P274" s="66"/>
      <c r="Q274" s="66"/>
      <c r="R274" s="66"/>
      <c r="S274" s="66"/>
      <c r="T274" s="67"/>
      <c r="U274" s="151"/>
      <c r="V274" s="1"/>
      <c r="W274" s="68">
        <f t="shared" si="71"/>
        <v>0</v>
      </c>
      <c r="X274" s="68">
        <f t="shared" si="72"/>
        <v>0</v>
      </c>
      <c r="Y274" s="68">
        <f t="shared" si="73"/>
        <v>0</v>
      </c>
      <c r="Z274" s="68">
        <f t="shared" si="74"/>
        <v>0</v>
      </c>
      <c r="AA274" s="68"/>
      <c r="AB274" s="68">
        <v>0</v>
      </c>
      <c r="AC274" s="69">
        <f t="shared" si="75"/>
        <v>0</v>
      </c>
      <c r="AD274" s="70">
        <v>0</v>
      </c>
      <c r="AE274" s="63">
        <v>40323</v>
      </c>
      <c r="AF274" s="72"/>
      <c r="AG274" s="63" t="s">
        <v>938</v>
      </c>
      <c r="AH274" s="23" t="s">
        <v>939</v>
      </c>
      <c r="AI274" s="60"/>
      <c r="AJ274" s="133" t="s">
        <v>1608</v>
      </c>
      <c r="AK274" s="73" t="s">
        <v>569</v>
      </c>
      <c r="AL274" s="3"/>
      <c r="AM274" s="4"/>
      <c r="AN274" s="5"/>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6"/>
      <c r="CO274" s="7"/>
      <c r="CP274" s="6"/>
      <c r="CQ274" s="7"/>
      <c r="CR274" s="6"/>
      <c r="CS274" s="7"/>
      <c r="CT274" s="8">
        <f t="shared" si="76"/>
        <v>0</v>
      </c>
      <c r="CU274" s="9"/>
      <c r="CV274" s="10"/>
      <c r="CW274" s="11"/>
      <c r="CX274" s="12"/>
      <c r="CY274" s="26"/>
      <c r="CZ274" s="12"/>
      <c r="DA274" s="9"/>
      <c r="DB274" s="10"/>
      <c r="DC274" s="64"/>
    </row>
    <row r="275" spans="1:108" ht="63.75" outlineLevel="2">
      <c r="A275" s="178">
        <v>40329</v>
      </c>
      <c r="B275" s="82" t="s">
        <v>960</v>
      </c>
      <c r="C275" s="82" t="s">
        <v>1589</v>
      </c>
      <c r="D275" s="165" t="s">
        <v>435</v>
      </c>
      <c r="E275" s="167"/>
      <c r="F275" s="66"/>
      <c r="G275" s="66"/>
      <c r="H275" s="66">
        <f>83*5</f>
        <v>415</v>
      </c>
      <c r="I275" s="66">
        <v>83</v>
      </c>
      <c r="J275" s="66"/>
      <c r="K275" s="66">
        <v>83</v>
      </c>
      <c r="L275" s="66"/>
      <c r="M275" s="66"/>
      <c r="N275" s="66"/>
      <c r="O275" s="66"/>
      <c r="P275" s="66"/>
      <c r="Q275" s="66"/>
      <c r="R275" s="66"/>
      <c r="S275" s="66"/>
      <c r="T275" s="67"/>
      <c r="U275" s="151" t="s">
        <v>1153</v>
      </c>
      <c r="V275" s="1">
        <v>40360</v>
      </c>
      <c r="W275" s="68">
        <f t="shared" si="71"/>
        <v>0</v>
      </c>
      <c r="X275" s="68">
        <f t="shared" si="72"/>
        <v>0</v>
      </c>
      <c r="Y275" s="68">
        <f t="shared" si="73"/>
        <v>26842217</v>
      </c>
      <c r="Z275" s="68">
        <f t="shared" si="74"/>
        <v>0</v>
      </c>
      <c r="AA275" s="68"/>
      <c r="AB275" s="68">
        <v>0</v>
      </c>
      <c r="AC275" s="69">
        <f t="shared" si="75"/>
        <v>26842217</v>
      </c>
      <c r="AD275" s="70">
        <v>0</v>
      </c>
      <c r="AE275" s="63">
        <v>40331</v>
      </c>
      <c r="AF275" s="72">
        <v>97968</v>
      </c>
      <c r="AG275" s="63" t="s">
        <v>954</v>
      </c>
      <c r="AH275" s="23" t="s">
        <v>955</v>
      </c>
      <c r="AI275" s="60"/>
      <c r="AJ275" s="133" t="s">
        <v>415</v>
      </c>
      <c r="AK275" s="73" t="s">
        <v>1152</v>
      </c>
      <c r="AL275" s="3"/>
      <c r="AM275" s="4"/>
      <c r="AN275" s="5"/>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6"/>
      <c r="CO275" s="7"/>
      <c r="CP275" s="6"/>
      <c r="CQ275" s="7"/>
      <c r="CR275" s="6"/>
      <c r="CS275" s="7"/>
      <c r="CT275" s="8">
        <f t="shared" si="76"/>
        <v>0</v>
      </c>
      <c r="CU275" s="9"/>
      <c r="CV275" s="10"/>
      <c r="CW275" s="11"/>
      <c r="CX275" s="12"/>
      <c r="CY275" s="26"/>
      <c r="CZ275" s="12"/>
      <c r="DA275" s="9">
        <f>20+193+30+120+160</f>
        <v>523</v>
      </c>
      <c r="DB275" s="10">
        <v>26842217</v>
      </c>
      <c r="DC275" s="64"/>
      <c r="DD275" s="22" t="s">
        <v>856</v>
      </c>
    </row>
    <row r="276" spans="1:108" ht="45" outlineLevel="2">
      <c r="A276" s="178">
        <v>40335</v>
      </c>
      <c r="B276" s="82" t="s">
        <v>960</v>
      </c>
      <c r="C276" s="82" t="s">
        <v>923</v>
      </c>
      <c r="D276" s="165" t="s">
        <v>435</v>
      </c>
      <c r="E276" s="167"/>
      <c r="F276" s="66"/>
      <c r="G276" s="66"/>
      <c r="H276" s="66">
        <f>50*5</f>
        <v>250</v>
      </c>
      <c r="I276" s="66">
        <v>50</v>
      </c>
      <c r="J276" s="66">
        <v>18</v>
      </c>
      <c r="K276" s="66">
        <v>32</v>
      </c>
      <c r="L276" s="66"/>
      <c r="M276" s="66"/>
      <c r="N276" s="66"/>
      <c r="O276" s="66"/>
      <c r="P276" s="66"/>
      <c r="Q276" s="66"/>
      <c r="R276" s="66">
        <v>1</v>
      </c>
      <c r="S276" s="66">
        <v>1</v>
      </c>
      <c r="T276" s="67"/>
      <c r="U276" s="151"/>
      <c r="V276" s="1">
        <v>40368</v>
      </c>
      <c r="W276" s="68">
        <f t="shared" si="71"/>
        <v>0</v>
      </c>
      <c r="X276" s="68">
        <f t="shared" si="72"/>
        <v>0</v>
      </c>
      <c r="Y276" s="68">
        <f t="shared" si="73"/>
        <v>31338488</v>
      </c>
      <c r="Z276" s="68">
        <f t="shared" si="74"/>
        <v>45008000</v>
      </c>
      <c r="AA276" s="68"/>
      <c r="AB276" s="68">
        <v>0</v>
      </c>
      <c r="AC276" s="69">
        <f t="shared" si="75"/>
        <v>76346488</v>
      </c>
      <c r="AD276" s="70">
        <v>0</v>
      </c>
      <c r="AE276" s="63">
        <v>40347</v>
      </c>
      <c r="AF276" s="72">
        <v>98360</v>
      </c>
      <c r="AG276" s="63" t="s">
        <v>954</v>
      </c>
      <c r="AH276" s="23" t="s">
        <v>955</v>
      </c>
      <c r="AI276" s="75" t="s">
        <v>1972</v>
      </c>
      <c r="AJ276" s="133" t="s">
        <v>415</v>
      </c>
      <c r="AK276" s="73" t="s">
        <v>1650</v>
      </c>
      <c r="AL276" s="3"/>
      <c r="AM276" s="4"/>
      <c r="AN276" s="5"/>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6"/>
      <c r="CO276" s="7"/>
      <c r="CP276" s="6"/>
      <c r="CQ276" s="7"/>
      <c r="CR276" s="6"/>
      <c r="CS276" s="7"/>
      <c r="CT276" s="8">
        <f t="shared" si="76"/>
        <v>0</v>
      </c>
      <c r="CU276" s="9">
        <v>50000</v>
      </c>
      <c r="CV276" s="10">
        <f>50000*900.16</f>
        <v>45008000</v>
      </c>
      <c r="CW276" s="11"/>
      <c r="CX276" s="12"/>
      <c r="CY276" s="26"/>
      <c r="CZ276" s="12"/>
      <c r="DA276" s="9">
        <v>1301</v>
      </c>
      <c r="DB276" s="10">
        <f>1301*22000+7806*348</f>
        <v>31338488</v>
      </c>
      <c r="DC276" s="64"/>
    </row>
    <row r="277" spans="1:108" ht="24" outlineLevel="2">
      <c r="A277" s="178">
        <v>40337</v>
      </c>
      <c r="B277" s="82" t="s">
        <v>960</v>
      </c>
      <c r="C277" s="82" t="s">
        <v>1589</v>
      </c>
      <c r="D277" s="165" t="s">
        <v>435</v>
      </c>
      <c r="E277" s="167"/>
      <c r="F277" s="66"/>
      <c r="G277" s="66"/>
      <c r="H277" s="66">
        <v>5</v>
      </c>
      <c r="I277" s="66">
        <v>1</v>
      </c>
      <c r="J277" s="66"/>
      <c r="K277" s="66">
        <v>1</v>
      </c>
      <c r="L277" s="66"/>
      <c r="M277" s="66"/>
      <c r="N277" s="66"/>
      <c r="O277" s="66"/>
      <c r="P277" s="66"/>
      <c r="Q277" s="66"/>
      <c r="R277" s="66"/>
      <c r="S277" s="66"/>
      <c r="T277" s="67"/>
      <c r="U277" s="151"/>
      <c r="V277" s="1"/>
      <c r="W277" s="68">
        <f t="shared" si="71"/>
        <v>0</v>
      </c>
      <c r="X277" s="68">
        <f t="shared" si="72"/>
        <v>0</v>
      </c>
      <c r="Y277" s="68">
        <f t="shared" si="73"/>
        <v>0</v>
      </c>
      <c r="Z277" s="68">
        <f t="shared" si="74"/>
        <v>0</v>
      </c>
      <c r="AA277" s="68"/>
      <c r="AB277" s="68">
        <v>0</v>
      </c>
      <c r="AC277" s="69">
        <f t="shared" si="75"/>
        <v>0</v>
      </c>
      <c r="AD277" s="70">
        <v>0</v>
      </c>
      <c r="AE277" s="63">
        <v>40338</v>
      </c>
      <c r="AF277" s="72"/>
      <c r="AG277" s="63" t="s">
        <v>938</v>
      </c>
      <c r="AH277" s="23" t="s">
        <v>939</v>
      </c>
      <c r="AI277" s="60"/>
      <c r="AJ277" s="133" t="s">
        <v>1608</v>
      </c>
      <c r="AK277" s="73" t="s">
        <v>886</v>
      </c>
      <c r="AL277" s="3"/>
      <c r="AM277" s="4"/>
      <c r="AN277" s="5"/>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6"/>
      <c r="CO277" s="7"/>
      <c r="CP277" s="6"/>
      <c r="CQ277" s="7"/>
      <c r="CR277" s="6"/>
      <c r="CS277" s="7"/>
      <c r="CT277" s="8">
        <f t="shared" si="76"/>
        <v>0</v>
      </c>
      <c r="CU277" s="9"/>
      <c r="CV277" s="10"/>
      <c r="CW277" s="11"/>
      <c r="CX277" s="12"/>
      <c r="CY277" s="26"/>
      <c r="CZ277" s="12"/>
      <c r="DA277" s="9"/>
      <c r="DB277" s="10"/>
      <c r="DC277" s="64"/>
    </row>
    <row r="278" spans="1:108" ht="24" outlineLevel="2">
      <c r="A278" s="178">
        <v>40338</v>
      </c>
      <c r="B278" s="82" t="s">
        <v>960</v>
      </c>
      <c r="C278" s="82" t="s">
        <v>919</v>
      </c>
      <c r="D278" s="165" t="s">
        <v>1262</v>
      </c>
      <c r="E278" s="167"/>
      <c r="F278" s="66"/>
      <c r="G278" s="66"/>
      <c r="H278" s="66"/>
      <c r="I278" s="66"/>
      <c r="J278" s="66"/>
      <c r="K278" s="66"/>
      <c r="L278" s="66"/>
      <c r="M278" s="66"/>
      <c r="N278" s="66"/>
      <c r="O278" s="66"/>
      <c r="P278" s="66"/>
      <c r="Q278" s="66"/>
      <c r="R278" s="66"/>
      <c r="S278" s="66"/>
      <c r="T278" s="67"/>
      <c r="U278" s="151" t="s">
        <v>2221</v>
      </c>
      <c r="V278" s="1"/>
      <c r="W278" s="68">
        <f t="shared" si="71"/>
        <v>0</v>
      </c>
      <c r="X278" s="68">
        <f t="shared" si="72"/>
        <v>0</v>
      </c>
      <c r="Y278" s="68">
        <f t="shared" si="73"/>
        <v>0</v>
      </c>
      <c r="Z278" s="68">
        <f t="shared" si="74"/>
        <v>0</v>
      </c>
      <c r="AA278" s="68"/>
      <c r="AB278" s="68">
        <v>0</v>
      </c>
      <c r="AC278" s="69">
        <f t="shared" si="75"/>
        <v>0</v>
      </c>
      <c r="AD278" s="70">
        <v>0</v>
      </c>
      <c r="AE278" s="63">
        <v>40338</v>
      </c>
      <c r="AF278" s="72"/>
      <c r="AG278" s="63" t="s">
        <v>938</v>
      </c>
      <c r="AH278" s="23" t="s">
        <v>939</v>
      </c>
      <c r="AI278" s="60"/>
      <c r="AJ278" s="133" t="s">
        <v>1608</v>
      </c>
      <c r="AK278" s="73" t="s">
        <v>2220</v>
      </c>
      <c r="AL278" s="3"/>
      <c r="AM278" s="4"/>
      <c r="AN278" s="5"/>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6"/>
      <c r="CO278" s="7"/>
      <c r="CP278" s="6"/>
      <c r="CQ278" s="7"/>
      <c r="CR278" s="6"/>
      <c r="CS278" s="7"/>
      <c r="CT278" s="8">
        <f t="shared" si="76"/>
        <v>0</v>
      </c>
      <c r="CU278" s="9"/>
      <c r="CV278" s="10"/>
      <c r="CW278" s="11"/>
      <c r="CX278" s="12"/>
      <c r="CY278" s="26"/>
      <c r="CZ278" s="12"/>
      <c r="DA278" s="9"/>
      <c r="DB278" s="10"/>
      <c r="DC278" s="64"/>
    </row>
    <row r="279" spans="1:108" ht="51" outlineLevel="2">
      <c r="A279" s="178">
        <v>40341</v>
      </c>
      <c r="B279" s="82" t="s">
        <v>960</v>
      </c>
      <c r="C279" s="82" t="s">
        <v>1589</v>
      </c>
      <c r="D279" s="165" t="s">
        <v>435</v>
      </c>
      <c r="E279" s="167"/>
      <c r="F279" s="66"/>
      <c r="G279" s="66"/>
      <c r="H279" s="66">
        <f>38*5</f>
        <v>190</v>
      </c>
      <c r="I279" s="66">
        <v>38</v>
      </c>
      <c r="J279" s="66"/>
      <c r="K279" s="66">
        <v>38</v>
      </c>
      <c r="L279" s="66"/>
      <c r="M279" s="66"/>
      <c r="N279" s="66"/>
      <c r="O279" s="66"/>
      <c r="P279" s="66"/>
      <c r="Q279" s="66"/>
      <c r="R279" s="66">
        <v>1</v>
      </c>
      <c r="S279" s="66"/>
      <c r="T279" s="67"/>
      <c r="U279" s="151"/>
      <c r="V279" s="1">
        <v>40366</v>
      </c>
      <c r="W279" s="68">
        <f t="shared" si="71"/>
        <v>0</v>
      </c>
      <c r="X279" s="68">
        <f t="shared" si="72"/>
        <v>0</v>
      </c>
      <c r="Y279" s="68">
        <f t="shared" si="73"/>
        <v>12151528</v>
      </c>
      <c r="Z279" s="68">
        <f t="shared" si="74"/>
        <v>0</v>
      </c>
      <c r="AA279" s="68"/>
      <c r="AB279" s="68">
        <v>0</v>
      </c>
      <c r="AC279" s="69">
        <f t="shared" si="75"/>
        <v>12151528</v>
      </c>
      <c r="AD279" s="70">
        <v>0</v>
      </c>
      <c r="AE279" s="63">
        <v>40352</v>
      </c>
      <c r="AF279" s="72">
        <v>98526</v>
      </c>
      <c r="AG279" s="63" t="s">
        <v>954</v>
      </c>
      <c r="AH279" s="23" t="s">
        <v>955</v>
      </c>
      <c r="AI279" s="60">
        <v>192</v>
      </c>
      <c r="AJ279" s="133" t="s">
        <v>415</v>
      </c>
      <c r="AK279" s="73" t="s">
        <v>1777</v>
      </c>
      <c r="AL279" s="3"/>
      <c r="AM279" s="4"/>
      <c r="AN279" s="5"/>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6"/>
      <c r="CO279" s="7"/>
      <c r="CP279" s="6"/>
      <c r="CQ279" s="7"/>
      <c r="CR279" s="6"/>
      <c r="CS279" s="7"/>
      <c r="CT279" s="8">
        <f t="shared" si="76"/>
        <v>0</v>
      </c>
      <c r="CU279" s="9"/>
      <c r="CV279" s="10"/>
      <c r="CW279" s="11"/>
      <c r="CX279" s="12"/>
      <c r="CY279" s="26"/>
      <c r="CZ279" s="12"/>
      <c r="DA279" s="9">
        <f>248+8+127</f>
        <v>383</v>
      </c>
      <c r="DB279" s="10">
        <f>248*34000+8*38000+127*22000+1786*348</f>
        <v>12151528</v>
      </c>
      <c r="DC279" s="64"/>
      <c r="DD279" s="22" t="s">
        <v>1473</v>
      </c>
    </row>
    <row r="280" spans="1:108" ht="84" outlineLevel="2">
      <c r="A280" s="178">
        <v>40347</v>
      </c>
      <c r="B280" s="82" t="s">
        <v>960</v>
      </c>
      <c r="C280" s="82" t="s">
        <v>1471</v>
      </c>
      <c r="D280" s="165" t="s">
        <v>1262</v>
      </c>
      <c r="E280" s="167"/>
      <c r="F280" s="66"/>
      <c r="G280" s="66"/>
      <c r="H280" s="66">
        <f>1230*5</f>
        <v>6150</v>
      </c>
      <c r="I280" s="66">
        <v>1230</v>
      </c>
      <c r="J280" s="66"/>
      <c r="K280" s="66">
        <v>1230</v>
      </c>
      <c r="L280" s="66"/>
      <c r="M280" s="66"/>
      <c r="N280" s="66"/>
      <c r="O280" s="66"/>
      <c r="P280" s="66"/>
      <c r="Q280" s="66"/>
      <c r="R280" s="66"/>
      <c r="S280" s="66"/>
      <c r="T280" s="67"/>
      <c r="U280" s="151"/>
      <c r="V280" s="1">
        <v>40415</v>
      </c>
      <c r="W280" s="68">
        <f t="shared" si="71"/>
        <v>18000000</v>
      </c>
      <c r="X280" s="68">
        <f t="shared" si="72"/>
        <v>0</v>
      </c>
      <c r="Y280" s="68">
        <f t="shared" si="73"/>
        <v>0</v>
      </c>
      <c r="Z280" s="68">
        <f t="shared" si="74"/>
        <v>0</v>
      </c>
      <c r="AA280" s="68"/>
      <c r="AB280" s="68">
        <v>0</v>
      </c>
      <c r="AC280" s="69">
        <f t="shared" si="75"/>
        <v>18000000</v>
      </c>
      <c r="AD280" s="70">
        <v>0</v>
      </c>
      <c r="AE280" s="63">
        <v>40395</v>
      </c>
      <c r="AF280" s="72">
        <v>38939</v>
      </c>
      <c r="AG280" s="63" t="s">
        <v>954</v>
      </c>
      <c r="AH280" s="23" t="s">
        <v>955</v>
      </c>
      <c r="AI280" s="60">
        <v>270</v>
      </c>
      <c r="AJ280" s="133"/>
      <c r="AK280" s="73" t="s">
        <v>262</v>
      </c>
      <c r="AL280" s="3"/>
      <c r="AM280" s="4"/>
      <c r="AN280" s="5"/>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v>1000</v>
      </c>
      <c r="CM280" s="4">
        <f>1000*18000</f>
        <v>18000000</v>
      </c>
      <c r="CN280" s="6"/>
      <c r="CO280" s="7"/>
      <c r="CP280" s="6"/>
      <c r="CQ280" s="7"/>
      <c r="CR280" s="6"/>
      <c r="CS280" s="7"/>
      <c r="CT280" s="8">
        <f t="shared" si="76"/>
        <v>18000000</v>
      </c>
      <c r="CU280" s="9"/>
      <c r="CV280" s="10"/>
      <c r="CW280" s="11"/>
      <c r="CX280" s="12"/>
      <c r="CY280" s="26"/>
      <c r="CZ280" s="12"/>
      <c r="DA280" s="9"/>
      <c r="DB280" s="10"/>
      <c r="DC280" s="64"/>
    </row>
    <row r="281" spans="1:108" ht="24" outlineLevel="2">
      <c r="A281" s="178">
        <v>40349</v>
      </c>
      <c r="B281" s="82" t="s">
        <v>960</v>
      </c>
      <c r="C281" s="82" t="s">
        <v>916</v>
      </c>
      <c r="D281" s="165" t="s">
        <v>1182</v>
      </c>
      <c r="E281" s="167"/>
      <c r="F281" s="66"/>
      <c r="G281" s="66"/>
      <c r="H281" s="66">
        <v>30</v>
      </c>
      <c r="I281" s="66">
        <v>6</v>
      </c>
      <c r="J281" s="66">
        <v>4</v>
      </c>
      <c r="K281" s="66">
        <v>2</v>
      </c>
      <c r="L281" s="66"/>
      <c r="M281" s="66"/>
      <c r="N281" s="66"/>
      <c r="O281" s="66"/>
      <c r="P281" s="66"/>
      <c r="Q281" s="66"/>
      <c r="R281" s="66"/>
      <c r="S281" s="66"/>
      <c r="T281" s="67"/>
      <c r="U281" s="151"/>
      <c r="V281" s="1"/>
      <c r="W281" s="68">
        <f t="shared" si="71"/>
        <v>0</v>
      </c>
      <c r="X281" s="68">
        <f t="shared" si="72"/>
        <v>0</v>
      </c>
      <c r="Y281" s="68">
        <f t="shared" si="73"/>
        <v>0</v>
      </c>
      <c r="Z281" s="68">
        <f t="shared" si="74"/>
        <v>0</v>
      </c>
      <c r="AA281" s="68"/>
      <c r="AB281" s="68">
        <v>0</v>
      </c>
      <c r="AC281" s="69">
        <f t="shared" si="75"/>
        <v>0</v>
      </c>
      <c r="AD281" s="70">
        <v>0</v>
      </c>
      <c r="AE281" s="63">
        <v>40350</v>
      </c>
      <c r="AF281" s="72"/>
      <c r="AG281" s="63" t="s">
        <v>938</v>
      </c>
      <c r="AH281" s="23" t="s">
        <v>939</v>
      </c>
      <c r="AI281" s="60"/>
      <c r="AJ281" s="133" t="s">
        <v>1608</v>
      </c>
      <c r="AK281" s="73" t="s">
        <v>1907</v>
      </c>
      <c r="AL281" s="3"/>
      <c r="AM281" s="4"/>
      <c r="AN281" s="5"/>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6"/>
      <c r="CO281" s="7"/>
      <c r="CP281" s="6"/>
      <c r="CQ281" s="7"/>
      <c r="CR281" s="6"/>
      <c r="CS281" s="7"/>
      <c r="CT281" s="8">
        <f t="shared" si="76"/>
        <v>0</v>
      </c>
      <c r="CU281" s="9"/>
      <c r="CV281" s="10"/>
      <c r="CW281" s="11"/>
      <c r="CX281" s="12"/>
      <c r="CY281" s="26"/>
      <c r="CZ281" s="12"/>
      <c r="DA281" s="9"/>
      <c r="DB281" s="10"/>
      <c r="DC281" s="64"/>
    </row>
    <row r="282" spans="1:108" ht="22.5" outlineLevel="2">
      <c r="A282" s="178">
        <v>40350</v>
      </c>
      <c r="B282" s="82" t="s">
        <v>960</v>
      </c>
      <c r="C282" s="82" t="s">
        <v>1858</v>
      </c>
      <c r="D282" s="165" t="s">
        <v>435</v>
      </c>
      <c r="E282" s="167"/>
      <c r="F282" s="66"/>
      <c r="G282" s="66"/>
      <c r="H282" s="66">
        <v>200</v>
      </c>
      <c r="I282" s="66">
        <v>40</v>
      </c>
      <c r="J282" s="66"/>
      <c r="K282" s="66">
        <v>40</v>
      </c>
      <c r="L282" s="66"/>
      <c r="M282" s="66"/>
      <c r="N282" s="66"/>
      <c r="O282" s="66"/>
      <c r="P282" s="66"/>
      <c r="Q282" s="66"/>
      <c r="R282" s="66"/>
      <c r="S282" s="66"/>
      <c r="T282" s="67"/>
      <c r="U282" s="151"/>
      <c r="V282" s="1"/>
      <c r="W282" s="68">
        <f t="shared" si="71"/>
        <v>0</v>
      </c>
      <c r="X282" s="68">
        <f t="shared" si="72"/>
        <v>0</v>
      </c>
      <c r="Y282" s="68">
        <f t="shared" si="73"/>
        <v>0</v>
      </c>
      <c r="Z282" s="68">
        <f t="shared" si="74"/>
        <v>0</v>
      </c>
      <c r="AA282" s="68"/>
      <c r="AB282" s="68">
        <v>0</v>
      </c>
      <c r="AC282" s="69">
        <f t="shared" si="75"/>
        <v>0</v>
      </c>
      <c r="AD282" s="70">
        <v>0</v>
      </c>
      <c r="AE282" s="63">
        <v>40353</v>
      </c>
      <c r="AF282" s="72"/>
      <c r="AG282" s="63" t="s">
        <v>938</v>
      </c>
      <c r="AH282" s="23" t="s">
        <v>939</v>
      </c>
      <c r="AI282" s="60"/>
      <c r="AJ282" s="133" t="s">
        <v>1608</v>
      </c>
      <c r="AK282" s="73"/>
      <c r="AL282" s="3"/>
      <c r="AM282" s="4"/>
      <c r="AN282" s="5"/>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6"/>
      <c r="CO282" s="7"/>
      <c r="CP282" s="6"/>
      <c r="CQ282" s="7"/>
      <c r="CR282" s="6"/>
      <c r="CS282" s="7"/>
      <c r="CT282" s="8">
        <f t="shared" si="76"/>
        <v>0</v>
      </c>
      <c r="CU282" s="9"/>
      <c r="CV282" s="10"/>
      <c r="CW282" s="11"/>
      <c r="CX282" s="12"/>
      <c r="CY282" s="26"/>
      <c r="CZ282" s="12"/>
      <c r="DA282" s="9"/>
      <c r="DB282" s="10"/>
      <c r="DC282" s="64"/>
    </row>
    <row r="283" spans="1:108" ht="22.5" outlineLevel="2">
      <c r="A283" s="178">
        <v>40355</v>
      </c>
      <c r="B283" s="82" t="s">
        <v>960</v>
      </c>
      <c r="C283" s="82" t="s">
        <v>953</v>
      </c>
      <c r="D283" s="165" t="s">
        <v>1262</v>
      </c>
      <c r="E283" s="167"/>
      <c r="F283" s="66"/>
      <c r="G283" s="66"/>
      <c r="H283" s="66"/>
      <c r="I283" s="66"/>
      <c r="J283" s="66"/>
      <c r="K283" s="66"/>
      <c r="L283" s="66"/>
      <c r="M283" s="66"/>
      <c r="N283" s="66"/>
      <c r="O283" s="66"/>
      <c r="P283" s="66"/>
      <c r="Q283" s="66"/>
      <c r="R283" s="66"/>
      <c r="S283" s="66"/>
      <c r="T283" s="67"/>
      <c r="U283" s="151"/>
      <c r="V283" s="1">
        <v>40375</v>
      </c>
      <c r="W283" s="68">
        <f t="shared" si="71"/>
        <v>0</v>
      </c>
      <c r="X283" s="68">
        <f t="shared" si="72"/>
        <v>0</v>
      </c>
      <c r="Y283" s="68">
        <f t="shared" si="73"/>
        <v>0</v>
      </c>
      <c r="Z283" s="68">
        <f t="shared" si="74"/>
        <v>143550000</v>
      </c>
      <c r="AA283" s="68"/>
      <c r="AB283" s="68">
        <v>0</v>
      </c>
      <c r="AC283" s="69">
        <f t="shared" si="75"/>
        <v>143550000</v>
      </c>
      <c r="AD283" s="70">
        <v>0</v>
      </c>
      <c r="AE283" s="63">
        <v>40373</v>
      </c>
      <c r="AF283" s="72">
        <v>34449</v>
      </c>
      <c r="AG283" s="63" t="s">
        <v>954</v>
      </c>
      <c r="AH283" s="23" t="s">
        <v>955</v>
      </c>
      <c r="AI283" s="75" t="s">
        <v>1982</v>
      </c>
      <c r="AJ283" s="133" t="s">
        <v>802</v>
      </c>
      <c r="AK283" s="73"/>
      <c r="AL283" s="3"/>
      <c r="AM283" s="4"/>
      <c r="AN283" s="5"/>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6"/>
      <c r="CO283" s="7"/>
      <c r="CP283" s="6"/>
      <c r="CQ283" s="7"/>
      <c r="CR283" s="6"/>
      <c r="CS283" s="7"/>
      <c r="CT283" s="8">
        <f t="shared" si="76"/>
        <v>0</v>
      </c>
      <c r="CU283" s="9">
        <f>100000+50000</f>
        <v>150000</v>
      </c>
      <c r="CV283" s="10">
        <f>100000*986+50000*899</f>
        <v>143550000</v>
      </c>
      <c r="CW283" s="11"/>
      <c r="CX283" s="12"/>
      <c r="CY283" s="26"/>
      <c r="CZ283" s="12"/>
      <c r="DA283" s="9"/>
      <c r="DB283" s="10"/>
      <c r="DC283" s="64"/>
    </row>
    <row r="284" spans="1:108" ht="36" outlineLevel="2">
      <c r="A284" s="178">
        <v>40361</v>
      </c>
      <c r="B284" s="82" t="s">
        <v>960</v>
      </c>
      <c r="C284" s="82" t="s">
        <v>1589</v>
      </c>
      <c r="D284" s="165" t="s">
        <v>1262</v>
      </c>
      <c r="E284" s="167"/>
      <c r="F284" s="66"/>
      <c r="G284" s="66"/>
      <c r="H284" s="66">
        <v>1250</v>
      </c>
      <c r="I284" s="66">
        <v>250</v>
      </c>
      <c r="J284" s="66"/>
      <c r="K284" s="66">
        <v>250</v>
      </c>
      <c r="L284" s="66"/>
      <c r="M284" s="66"/>
      <c r="N284" s="66"/>
      <c r="O284" s="66"/>
      <c r="P284" s="66"/>
      <c r="Q284" s="66"/>
      <c r="R284" s="66"/>
      <c r="S284" s="66"/>
      <c r="T284" s="67"/>
      <c r="U284" s="151"/>
      <c r="V284" s="1"/>
      <c r="W284" s="68">
        <f t="shared" si="71"/>
        <v>0</v>
      </c>
      <c r="X284" s="68">
        <f t="shared" si="72"/>
        <v>0</v>
      </c>
      <c r="Y284" s="68">
        <f t="shared" si="73"/>
        <v>0</v>
      </c>
      <c r="Z284" s="68">
        <f t="shared" si="74"/>
        <v>0</v>
      </c>
      <c r="AA284" s="68"/>
      <c r="AB284" s="68">
        <v>0</v>
      </c>
      <c r="AC284" s="69">
        <f t="shared" si="75"/>
        <v>0</v>
      </c>
      <c r="AD284" s="70">
        <v>0</v>
      </c>
      <c r="AE284" s="63">
        <v>40367</v>
      </c>
      <c r="AF284" s="72"/>
      <c r="AG284" s="63" t="s">
        <v>938</v>
      </c>
      <c r="AH284" s="23" t="s">
        <v>939</v>
      </c>
      <c r="AI284" s="60"/>
      <c r="AJ284" s="133" t="s">
        <v>1608</v>
      </c>
      <c r="AK284" s="73" t="s">
        <v>273</v>
      </c>
      <c r="AL284" s="3"/>
      <c r="AM284" s="4"/>
      <c r="AN284" s="5"/>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6"/>
      <c r="CO284" s="7"/>
      <c r="CP284" s="6"/>
      <c r="CQ284" s="7"/>
      <c r="CR284" s="6"/>
      <c r="CS284" s="7"/>
      <c r="CT284" s="8">
        <f t="shared" si="76"/>
        <v>0</v>
      </c>
      <c r="CU284" s="9"/>
      <c r="CV284" s="10"/>
      <c r="CW284" s="11"/>
      <c r="CX284" s="12"/>
      <c r="CY284" s="26"/>
      <c r="CZ284" s="12"/>
      <c r="DA284" s="9"/>
      <c r="DB284" s="10"/>
      <c r="DC284" s="64"/>
    </row>
    <row r="285" spans="1:108" ht="36" outlineLevel="2">
      <c r="A285" s="178">
        <v>40367</v>
      </c>
      <c r="B285" s="82" t="s">
        <v>960</v>
      </c>
      <c r="C285" s="82" t="s">
        <v>1589</v>
      </c>
      <c r="D285" s="165" t="s">
        <v>1262</v>
      </c>
      <c r="E285" s="167"/>
      <c r="F285" s="66"/>
      <c r="G285" s="66"/>
      <c r="H285" s="66"/>
      <c r="I285" s="66"/>
      <c r="J285" s="66"/>
      <c r="K285" s="66"/>
      <c r="L285" s="66"/>
      <c r="M285" s="66"/>
      <c r="N285" s="66"/>
      <c r="O285" s="66"/>
      <c r="P285" s="66"/>
      <c r="Q285" s="66"/>
      <c r="R285" s="66"/>
      <c r="S285" s="66"/>
      <c r="T285" s="67"/>
      <c r="U285" s="151"/>
      <c r="V285" s="1"/>
      <c r="W285" s="68">
        <f t="shared" si="71"/>
        <v>0</v>
      </c>
      <c r="X285" s="68">
        <f t="shared" si="72"/>
        <v>0</v>
      </c>
      <c r="Y285" s="68">
        <f t="shared" si="73"/>
        <v>0</v>
      </c>
      <c r="Z285" s="68">
        <f t="shared" si="74"/>
        <v>0</v>
      </c>
      <c r="AA285" s="68"/>
      <c r="AB285" s="68">
        <v>0</v>
      </c>
      <c r="AC285" s="69">
        <f t="shared" si="75"/>
        <v>0</v>
      </c>
      <c r="AD285" s="70">
        <v>0</v>
      </c>
      <c r="AE285" s="63">
        <v>40371</v>
      </c>
      <c r="AF285" s="72"/>
      <c r="AG285" s="63" t="s">
        <v>938</v>
      </c>
      <c r="AH285" s="23" t="s">
        <v>939</v>
      </c>
      <c r="AI285" s="60"/>
      <c r="AJ285" s="133" t="s">
        <v>1608</v>
      </c>
      <c r="AK285" s="73" t="s">
        <v>806</v>
      </c>
      <c r="AL285" s="3"/>
      <c r="AM285" s="4"/>
      <c r="AN285" s="5"/>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6"/>
      <c r="CO285" s="7"/>
      <c r="CP285" s="6"/>
      <c r="CQ285" s="7"/>
      <c r="CR285" s="6"/>
      <c r="CS285" s="7"/>
      <c r="CT285" s="8">
        <f t="shared" si="76"/>
        <v>0</v>
      </c>
      <c r="CU285" s="9"/>
      <c r="CV285" s="10"/>
      <c r="CW285" s="11"/>
      <c r="CX285" s="12"/>
      <c r="CY285" s="26"/>
      <c r="CZ285" s="12"/>
      <c r="DA285" s="9"/>
      <c r="DB285" s="10"/>
      <c r="DC285" s="64"/>
    </row>
    <row r="286" spans="1:108" ht="60" outlineLevel="2">
      <c r="A286" s="178">
        <v>40373</v>
      </c>
      <c r="B286" s="82" t="s">
        <v>960</v>
      </c>
      <c r="C286" s="82" t="s">
        <v>1589</v>
      </c>
      <c r="D286" s="165" t="s">
        <v>1182</v>
      </c>
      <c r="E286" s="167">
        <v>3</v>
      </c>
      <c r="F286" s="66"/>
      <c r="G286" s="66"/>
      <c r="H286" s="66">
        <f>61*5</f>
        <v>305</v>
      </c>
      <c r="I286" s="66">
        <v>61</v>
      </c>
      <c r="J286" s="66">
        <v>1</v>
      </c>
      <c r="K286" s="66">
        <v>60</v>
      </c>
      <c r="L286" s="66"/>
      <c r="M286" s="66"/>
      <c r="N286" s="66"/>
      <c r="O286" s="66"/>
      <c r="P286" s="66"/>
      <c r="Q286" s="66"/>
      <c r="R286" s="66"/>
      <c r="S286" s="66"/>
      <c r="T286" s="67"/>
      <c r="U286" s="151"/>
      <c r="V286" s="1"/>
      <c r="W286" s="68">
        <f t="shared" si="71"/>
        <v>0</v>
      </c>
      <c r="X286" s="68">
        <f t="shared" si="72"/>
        <v>0</v>
      </c>
      <c r="Y286" s="68">
        <f t="shared" si="73"/>
        <v>0</v>
      </c>
      <c r="Z286" s="68">
        <f t="shared" si="74"/>
        <v>0</v>
      </c>
      <c r="AA286" s="68"/>
      <c r="AB286" s="68">
        <v>0</v>
      </c>
      <c r="AC286" s="69">
        <f t="shared" si="75"/>
        <v>0</v>
      </c>
      <c r="AD286" s="70">
        <v>0</v>
      </c>
      <c r="AE286" s="63">
        <v>40375</v>
      </c>
      <c r="AF286" s="72"/>
      <c r="AG286" s="63" t="s">
        <v>938</v>
      </c>
      <c r="AH286" s="23" t="s">
        <v>939</v>
      </c>
      <c r="AI286" s="60"/>
      <c r="AJ286" s="133" t="s">
        <v>1608</v>
      </c>
      <c r="AK286" s="73" t="s">
        <v>1416</v>
      </c>
      <c r="AL286" s="3"/>
      <c r="AM286" s="4"/>
      <c r="AN286" s="5"/>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6"/>
      <c r="CO286" s="7"/>
      <c r="CP286" s="6"/>
      <c r="CQ286" s="7"/>
      <c r="CR286" s="6"/>
      <c r="CS286" s="7"/>
      <c r="CT286" s="8">
        <f t="shared" si="76"/>
        <v>0</v>
      </c>
      <c r="CU286" s="9"/>
      <c r="CV286" s="10"/>
      <c r="CW286" s="11"/>
      <c r="CX286" s="12"/>
      <c r="CY286" s="26"/>
      <c r="CZ286" s="12"/>
      <c r="DA286" s="9"/>
      <c r="DB286" s="10"/>
      <c r="DC286" s="64"/>
    </row>
    <row r="287" spans="1:108" ht="204" outlineLevel="2">
      <c r="A287" s="178">
        <v>40377</v>
      </c>
      <c r="B287" s="82" t="s">
        <v>960</v>
      </c>
      <c r="C287" s="82" t="s">
        <v>1067</v>
      </c>
      <c r="D287" s="165" t="s">
        <v>1262</v>
      </c>
      <c r="E287" s="167"/>
      <c r="F287" s="66"/>
      <c r="G287" s="66"/>
      <c r="H287" s="66">
        <f>4906*5</f>
        <v>24530</v>
      </c>
      <c r="I287" s="66">
        <v>4906</v>
      </c>
      <c r="J287" s="66"/>
      <c r="K287" s="66">
        <v>4906</v>
      </c>
      <c r="L287" s="66"/>
      <c r="M287" s="66"/>
      <c r="N287" s="66"/>
      <c r="O287" s="66"/>
      <c r="P287" s="66"/>
      <c r="Q287" s="66"/>
      <c r="R287" s="66"/>
      <c r="S287" s="66"/>
      <c r="T287" s="67">
        <v>1200</v>
      </c>
      <c r="U287" s="151"/>
      <c r="V287" s="1">
        <v>40396</v>
      </c>
      <c r="W287" s="68">
        <f t="shared" si="71"/>
        <v>168829000</v>
      </c>
      <c r="X287" s="68">
        <f t="shared" si="72"/>
        <v>119510000</v>
      </c>
      <c r="Y287" s="68">
        <f t="shared" si="73"/>
        <v>0</v>
      </c>
      <c r="Z287" s="68">
        <f t="shared" si="74"/>
        <v>0</v>
      </c>
      <c r="AA287" s="68">
        <v>11460800</v>
      </c>
      <c r="AB287" s="68">
        <v>0</v>
      </c>
      <c r="AC287" s="69">
        <f t="shared" si="75"/>
        <v>299799800</v>
      </c>
      <c r="AD287" s="70">
        <v>0</v>
      </c>
      <c r="AE287" s="63">
        <v>40389</v>
      </c>
      <c r="AF287" s="72">
        <v>37971</v>
      </c>
      <c r="AG287" s="63" t="s">
        <v>954</v>
      </c>
      <c r="AH287" s="23" t="s">
        <v>955</v>
      </c>
      <c r="AI287" s="75" t="s">
        <v>220</v>
      </c>
      <c r="AJ287" s="133" t="s">
        <v>1492</v>
      </c>
      <c r="AK287" s="73" t="s">
        <v>1506</v>
      </c>
      <c r="AL287" s="3"/>
      <c r="AM287" s="4"/>
      <c r="AN287" s="5"/>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v>15</v>
      </c>
      <c r="BY287" s="4">
        <f>15*504600</f>
        <v>7569000</v>
      </c>
      <c r="BZ287" s="4"/>
      <c r="CA287" s="4"/>
      <c r="CB287" s="4"/>
      <c r="CC287" s="4"/>
      <c r="CD287" s="4"/>
      <c r="CE287" s="4"/>
      <c r="CF287" s="4"/>
      <c r="CG287" s="4"/>
      <c r="CH287" s="4"/>
      <c r="CI287" s="4"/>
      <c r="CJ287" s="4"/>
      <c r="CK287" s="4"/>
      <c r="CL287" s="4">
        <v>4906</v>
      </c>
      <c r="CM287" s="4">
        <f>4906*18000</f>
        <v>88308000</v>
      </c>
      <c r="CN287" s="6">
        <v>1000</v>
      </c>
      <c r="CO287" s="7">
        <f>1000*36952</f>
        <v>36952000</v>
      </c>
      <c r="CP287" s="6">
        <v>1000</v>
      </c>
      <c r="CQ287" s="7">
        <f>1000*36000</f>
        <v>36000000</v>
      </c>
      <c r="CR287" s="6"/>
      <c r="CS287" s="7"/>
      <c r="CT287" s="8">
        <f t="shared" si="76"/>
        <v>168829000</v>
      </c>
      <c r="CU287" s="9"/>
      <c r="CV287" s="10"/>
      <c r="CW287" s="11">
        <f>1000+406</f>
        <v>1406</v>
      </c>
      <c r="CX287" s="12">
        <f>1000*85000+406*85000</f>
        <v>119510000</v>
      </c>
      <c r="CY287" s="26"/>
      <c r="CZ287" s="12"/>
      <c r="DA287" s="9"/>
      <c r="DB287" s="10"/>
      <c r="DC287" s="64"/>
    </row>
    <row r="288" spans="1:108" ht="45" outlineLevel="2">
      <c r="A288" s="178">
        <v>40378</v>
      </c>
      <c r="B288" s="82" t="s">
        <v>960</v>
      </c>
      <c r="C288" s="82" t="s">
        <v>1585</v>
      </c>
      <c r="D288" s="165" t="s">
        <v>1262</v>
      </c>
      <c r="E288" s="167"/>
      <c r="F288" s="66"/>
      <c r="G288" s="66"/>
      <c r="H288" s="66">
        <f>1540*5</f>
        <v>7700</v>
      </c>
      <c r="I288" s="66">
        <v>1540</v>
      </c>
      <c r="J288" s="66"/>
      <c r="K288" s="66">
        <v>1540</v>
      </c>
      <c r="L288" s="66"/>
      <c r="M288" s="66"/>
      <c r="N288" s="66"/>
      <c r="O288" s="66"/>
      <c r="P288" s="66"/>
      <c r="Q288" s="66"/>
      <c r="R288" s="66"/>
      <c r="S288" s="66"/>
      <c r="T288" s="67"/>
      <c r="U288" s="151"/>
      <c r="V288" s="1">
        <v>40526</v>
      </c>
      <c r="W288" s="68">
        <f t="shared" si="71"/>
        <v>9180000</v>
      </c>
      <c r="X288" s="68">
        <f t="shared" si="72"/>
        <v>43350000</v>
      </c>
      <c r="Y288" s="68">
        <f t="shared" si="73"/>
        <v>0</v>
      </c>
      <c r="Z288" s="68">
        <f t="shared" si="74"/>
        <v>0</v>
      </c>
      <c r="AA288" s="68"/>
      <c r="AB288" s="68">
        <v>0</v>
      </c>
      <c r="AC288" s="69">
        <f t="shared" si="75"/>
        <v>52530000</v>
      </c>
      <c r="AD288" s="70">
        <v>0</v>
      </c>
      <c r="AE288" s="63">
        <v>40387</v>
      </c>
      <c r="AF288" s="72">
        <v>57681</v>
      </c>
      <c r="AG288" s="63" t="s">
        <v>954</v>
      </c>
      <c r="AH288" s="23" t="s">
        <v>955</v>
      </c>
      <c r="AI288" s="60">
        <v>25667</v>
      </c>
      <c r="AJ288" s="133" t="s">
        <v>415</v>
      </c>
      <c r="AK288" s="73" t="s">
        <v>1777</v>
      </c>
      <c r="AL288" s="3"/>
      <c r="AM288" s="4"/>
      <c r="AN288" s="5"/>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v>510</v>
      </c>
      <c r="CM288" s="4">
        <f>510*18000</f>
        <v>9180000</v>
      </c>
      <c r="CN288" s="6"/>
      <c r="CO288" s="7"/>
      <c r="CP288" s="6"/>
      <c r="CQ288" s="7"/>
      <c r="CR288" s="6"/>
      <c r="CS288" s="7"/>
      <c r="CT288" s="8">
        <f t="shared" si="76"/>
        <v>9180000</v>
      </c>
      <c r="CU288" s="9"/>
      <c r="CV288" s="10"/>
      <c r="CW288" s="11">
        <v>510</v>
      </c>
      <c r="CX288" s="12">
        <f>510*85000</f>
        <v>43350000</v>
      </c>
      <c r="CY288" s="26"/>
      <c r="CZ288" s="12"/>
      <c r="DA288" s="9"/>
      <c r="DB288" s="10"/>
      <c r="DC288" s="64"/>
    </row>
    <row r="289" spans="1:107" ht="84" outlineLevel="2">
      <c r="A289" s="178">
        <v>40380</v>
      </c>
      <c r="B289" s="82" t="s">
        <v>960</v>
      </c>
      <c r="C289" s="82" t="s">
        <v>1922</v>
      </c>
      <c r="D289" s="165" t="s">
        <v>1262</v>
      </c>
      <c r="E289" s="167"/>
      <c r="F289" s="66"/>
      <c r="G289" s="66"/>
      <c r="H289" s="66">
        <f>45*5</f>
        <v>225</v>
      </c>
      <c r="I289" s="66">
        <v>45</v>
      </c>
      <c r="J289" s="66"/>
      <c r="K289" s="66">
        <v>45</v>
      </c>
      <c r="L289" s="66"/>
      <c r="M289" s="66"/>
      <c r="N289" s="66"/>
      <c r="O289" s="66"/>
      <c r="P289" s="66"/>
      <c r="Q289" s="66"/>
      <c r="R289" s="66"/>
      <c r="S289" s="66"/>
      <c r="T289" s="67"/>
      <c r="U289" s="151"/>
      <c r="V289" s="1"/>
      <c r="W289" s="68">
        <f t="shared" si="71"/>
        <v>0</v>
      </c>
      <c r="X289" s="68">
        <f t="shared" si="72"/>
        <v>0</v>
      </c>
      <c r="Y289" s="68">
        <f t="shared" si="73"/>
        <v>0</v>
      </c>
      <c r="Z289" s="68">
        <f t="shared" si="74"/>
        <v>0</v>
      </c>
      <c r="AA289" s="68"/>
      <c r="AB289" s="68">
        <v>0</v>
      </c>
      <c r="AC289" s="69">
        <f t="shared" si="75"/>
        <v>0</v>
      </c>
      <c r="AD289" s="70">
        <v>0</v>
      </c>
      <c r="AE289" s="63">
        <v>40352</v>
      </c>
      <c r="AF289" s="72"/>
      <c r="AG289" s="63" t="s">
        <v>938</v>
      </c>
      <c r="AH289" s="23" t="s">
        <v>939</v>
      </c>
      <c r="AI289" s="60"/>
      <c r="AJ289" s="133" t="s">
        <v>1608</v>
      </c>
      <c r="AK289" s="73" t="s">
        <v>1801</v>
      </c>
      <c r="AL289" s="3"/>
      <c r="AM289" s="4"/>
      <c r="AN289" s="5"/>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6"/>
      <c r="CO289" s="7"/>
      <c r="CP289" s="6"/>
      <c r="CQ289" s="7"/>
      <c r="CR289" s="6"/>
      <c r="CS289" s="7"/>
      <c r="CT289" s="8">
        <f t="shared" si="76"/>
        <v>0</v>
      </c>
      <c r="CU289" s="9"/>
      <c r="CV289" s="10"/>
      <c r="CW289" s="11"/>
      <c r="CX289" s="12"/>
      <c r="CY289" s="26"/>
      <c r="CZ289" s="12"/>
      <c r="DA289" s="9"/>
      <c r="DB289" s="10"/>
      <c r="DC289" s="64"/>
    </row>
    <row r="290" spans="1:107" ht="96" outlineLevel="2">
      <c r="A290" s="178">
        <v>40380</v>
      </c>
      <c r="B290" s="82" t="s">
        <v>960</v>
      </c>
      <c r="C290" s="82" t="s">
        <v>263</v>
      </c>
      <c r="D290" s="165" t="s">
        <v>1262</v>
      </c>
      <c r="E290" s="167"/>
      <c r="F290" s="66"/>
      <c r="G290" s="66"/>
      <c r="H290" s="66">
        <f>1532*5</f>
        <v>7660</v>
      </c>
      <c r="I290" s="66">
        <v>1532</v>
      </c>
      <c r="J290" s="66"/>
      <c r="K290" s="66">
        <v>1532</v>
      </c>
      <c r="L290" s="66"/>
      <c r="M290" s="66"/>
      <c r="N290" s="66"/>
      <c r="O290" s="66"/>
      <c r="P290" s="66"/>
      <c r="Q290" s="66"/>
      <c r="R290" s="66"/>
      <c r="S290" s="66"/>
      <c r="T290" s="67"/>
      <c r="U290" s="151"/>
      <c r="V290" s="1">
        <v>40415</v>
      </c>
      <c r="W290" s="68">
        <f t="shared" si="71"/>
        <v>9000000</v>
      </c>
      <c r="X290" s="68">
        <f t="shared" si="72"/>
        <v>0</v>
      </c>
      <c r="Y290" s="68">
        <f t="shared" si="73"/>
        <v>0</v>
      </c>
      <c r="Z290" s="68">
        <f t="shared" si="74"/>
        <v>18003200</v>
      </c>
      <c r="AA290" s="68"/>
      <c r="AB290" s="68">
        <v>0</v>
      </c>
      <c r="AC290" s="69">
        <f t="shared" si="75"/>
        <v>27003200</v>
      </c>
      <c r="AD290" s="70">
        <v>50816000</v>
      </c>
      <c r="AE290" s="63">
        <v>40395</v>
      </c>
      <c r="AF290" s="79" t="s">
        <v>1539</v>
      </c>
      <c r="AG290" s="63" t="s">
        <v>954</v>
      </c>
      <c r="AH290" s="23" t="s">
        <v>955</v>
      </c>
      <c r="AI290" s="75" t="s">
        <v>286</v>
      </c>
      <c r="AJ290" s="133" t="s">
        <v>1476</v>
      </c>
      <c r="AK290" s="73" t="s">
        <v>808</v>
      </c>
      <c r="AL290" s="3"/>
      <c r="AM290" s="4"/>
      <c r="AN290" s="5"/>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v>500</v>
      </c>
      <c r="CM290" s="4">
        <f>500*18000</f>
        <v>9000000</v>
      </c>
      <c r="CN290" s="6"/>
      <c r="CO290" s="7"/>
      <c r="CP290" s="6"/>
      <c r="CQ290" s="7"/>
      <c r="CR290" s="6"/>
      <c r="CS290" s="7"/>
      <c r="CT290" s="8">
        <f t="shared" si="76"/>
        <v>9000000</v>
      </c>
      <c r="CU290" s="9">
        <v>20000</v>
      </c>
      <c r="CV290" s="10">
        <f>20000*900.16</f>
        <v>18003200</v>
      </c>
      <c r="CW290" s="11"/>
      <c r="CX290" s="12"/>
      <c r="CY290" s="26"/>
      <c r="CZ290" s="12"/>
      <c r="DA290" s="9"/>
      <c r="DB290" s="10"/>
      <c r="DC290" s="64"/>
    </row>
    <row r="291" spans="1:107" ht="33.75" outlineLevel="2">
      <c r="A291" s="178">
        <v>40383</v>
      </c>
      <c r="B291" s="82" t="s">
        <v>960</v>
      </c>
      <c r="C291" s="82" t="s">
        <v>953</v>
      </c>
      <c r="D291" s="165" t="s">
        <v>1262</v>
      </c>
      <c r="E291" s="167"/>
      <c r="F291" s="66"/>
      <c r="G291" s="66"/>
      <c r="H291" s="66"/>
      <c r="I291" s="66"/>
      <c r="J291" s="66"/>
      <c r="K291" s="66"/>
      <c r="L291" s="66"/>
      <c r="M291" s="66"/>
      <c r="N291" s="66"/>
      <c r="O291" s="66"/>
      <c r="P291" s="66"/>
      <c r="Q291" s="66"/>
      <c r="R291" s="66"/>
      <c r="S291" s="66"/>
      <c r="T291" s="67"/>
      <c r="U291" s="151"/>
      <c r="V291" s="1">
        <v>40396</v>
      </c>
      <c r="W291" s="68">
        <f t="shared" si="71"/>
        <v>0</v>
      </c>
      <c r="X291" s="68">
        <f t="shared" si="72"/>
        <v>0</v>
      </c>
      <c r="Y291" s="68">
        <f t="shared" si="73"/>
        <v>0</v>
      </c>
      <c r="Z291" s="68">
        <f t="shared" si="74"/>
        <v>139316000</v>
      </c>
      <c r="AA291" s="68"/>
      <c r="AB291" s="68">
        <v>0</v>
      </c>
      <c r="AC291" s="69">
        <f t="shared" si="75"/>
        <v>139316000</v>
      </c>
      <c r="AD291" s="70">
        <v>0</v>
      </c>
      <c r="AE291" s="63">
        <v>40386</v>
      </c>
      <c r="AF291" s="72">
        <v>36853</v>
      </c>
      <c r="AG291" s="63" t="s">
        <v>954</v>
      </c>
      <c r="AH291" s="23" t="s">
        <v>955</v>
      </c>
      <c r="AI291" s="75" t="s">
        <v>2092</v>
      </c>
      <c r="AJ291" s="133" t="s">
        <v>976</v>
      </c>
      <c r="AK291" s="73" t="s">
        <v>245</v>
      </c>
      <c r="AL291" s="3"/>
      <c r="AM291" s="4"/>
      <c r="AN291" s="5"/>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6"/>
      <c r="CO291" s="7"/>
      <c r="CP291" s="6"/>
      <c r="CQ291" s="7"/>
      <c r="CR291" s="6"/>
      <c r="CS291" s="7"/>
      <c r="CT291" s="8">
        <f t="shared" si="76"/>
        <v>0</v>
      </c>
      <c r="CU291" s="9">
        <f>50000+100000</f>
        <v>150000</v>
      </c>
      <c r="CV291" s="10">
        <f>50000*986+100000*900.16</f>
        <v>139316000</v>
      </c>
      <c r="CW291" s="11"/>
      <c r="CX291" s="12"/>
      <c r="CY291" s="26"/>
      <c r="CZ291" s="12"/>
      <c r="DA291" s="9" t="s">
        <v>1263</v>
      </c>
      <c r="DB291" s="10"/>
      <c r="DC291" s="64"/>
    </row>
    <row r="292" spans="1:107" ht="48" outlineLevel="2">
      <c r="A292" s="178">
        <v>40383</v>
      </c>
      <c r="B292" s="82" t="s">
        <v>960</v>
      </c>
      <c r="C292" s="82" t="s">
        <v>1522</v>
      </c>
      <c r="D292" s="165" t="s">
        <v>435</v>
      </c>
      <c r="E292" s="167"/>
      <c r="F292" s="66"/>
      <c r="G292" s="66"/>
      <c r="H292" s="66">
        <v>70</v>
      </c>
      <c r="I292" s="66">
        <v>15</v>
      </c>
      <c r="J292" s="66"/>
      <c r="K292" s="66">
        <v>15</v>
      </c>
      <c r="L292" s="66"/>
      <c r="M292" s="66"/>
      <c r="N292" s="66"/>
      <c r="O292" s="66"/>
      <c r="P292" s="66"/>
      <c r="Q292" s="66"/>
      <c r="R292" s="66">
        <v>1</v>
      </c>
      <c r="S292" s="66"/>
      <c r="T292" s="67"/>
      <c r="U292" s="151"/>
      <c r="V292" s="1"/>
      <c r="W292" s="68">
        <f t="shared" si="71"/>
        <v>0</v>
      </c>
      <c r="X292" s="68">
        <f t="shared" si="72"/>
        <v>0</v>
      </c>
      <c r="Y292" s="68">
        <f t="shared" si="73"/>
        <v>0</v>
      </c>
      <c r="Z292" s="68">
        <f t="shared" si="74"/>
        <v>0</v>
      </c>
      <c r="AA292" s="68"/>
      <c r="AB292" s="68">
        <v>0</v>
      </c>
      <c r="AC292" s="69">
        <f t="shared" si="75"/>
        <v>0</v>
      </c>
      <c r="AD292" s="70">
        <v>0</v>
      </c>
      <c r="AE292" s="63">
        <v>40385</v>
      </c>
      <c r="AF292" s="72"/>
      <c r="AG292" s="63" t="s">
        <v>938</v>
      </c>
      <c r="AH292" s="23" t="s">
        <v>939</v>
      </c>
      <c r="AI292" s="60"/>
      <c r="AJ292" s="133" t="s">
        <v>1608</v>
      </c>
      <c r="AK292" s="73" t="s">
        <v>264</v>
      </c>
      <c r="AL292" s="3"/>
      <c r="AM292" s="4"/>
      <c r="AN292" s="5"/>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6"/>
      <c r="CO292" s="7"/>
      <c r="CP292" s="6"/>
      <c r="CQ292" s="7"/>
      <c r="CR292" s="6"/>
      <c r="CS292" s="7"/>
      <c r="CT292" s="8">
        <f t="shared" si="76"/>
        <v>0</v>
      </c>
      <c r="CU292" s="9"/>
      <c r="CV292" s="10"/>
      <c r="CW292" s="11"/>
      <c r="CX292" s="12"/>
      <c r="CY292" s="26"/>
      <c r="CZ292" s="12"/>
      <c r="DA292" s="9"/>
      <c r="DB292" s="10"/>
      <c r="DC292" s="64"/>
    </row>
    <row r="293" spans="1:107" ht="48" outlineLevel="2">
      <c r="A293" s="178">
        <v>40384</v>
      </c>
      <c r="B293" s="82" t="s">
        <v>960</v>
      </c>
      <c r="C293" s="82" t="s">
        <v>1523</v>
      </c>
      <c r="D293" s="165" t="s">
        <v>1262</v>
      </c>
      <c r="E293" s="167"/>
      <c r="F293" s="66"/>
      <c r="G293" s="66"/>
      <c r="H293" s="66">
        <f>4996*5</f>
        <v>24980</v>
      </c>
      <c r="I293" s="66">
        <v>4996</v>
      </c>
      <c r="J293" s="66"/>
      <c r="K293" s="66">
        <v>4996</v>
      </c>
      <c r="L293" s="66"/>
      <c r="M293" s="66"/>
      <c r="N293" s="66"/>
      <c r="O293" s="66"/>
      <c r="P293" s="66"/>
      <c r="Q293" s="66"/>
      <c r="R293" s="66"/>
      <c r="S293" s="66"/>
      <c r="T293" s="67">
        <v>1300</v>
      </c>
      <c r="U293" s="151"/>
      <c r="V293" s="1">
        <v>40403</v>
      </c>
      <c r="W293" s="68">
        <f t="shared" si="71"/>
        <v>229093300</v>
      </c>
      <c r="X293" s="68">
        <f t="shared" si="72"/>
        <v>215643460</v>
      </c>
      <c r="Y293" s="68">
        <f t="shared" si="73"/>
        <v>0</v>
      </c>
      <c r="Z293" s="68">
        <f t="shared" si="74"/>
        <v>0</v>
      </c>
      <c r="AA293" s="68"/>
      <c r="AB293" s="68">
        <v>0</v>
      </c>
      <c r="AC293" s="69">
        <f t="shared" si="75"/>
        <v>444736760</v>
      </c>
      <c r="AD293" s="70">
        <v>0</v>
      </c>
      <c r="AE293" s="63">
        <v>40385</v>
      </c>
      <c r="AF293" s="72">
        <v>39851</v>
      </c>
      <c r="AG293" s="63" t="s">
        <v>954</v>
      </c>
      <c r="AH293" s="23" t="s">
        <v>955</v>
      </c>
      <c r="AI293" s="75" t="s">
        <v>222</v>
      </c>
      <c r="AJ293" s="133" t="s">
        <v>415</v>
      </c>
      <c r="AK293" s="73" t="s">
        <v>1524</v>
      </c>
      <c r="AL293" s="3"/>
      <c r="AM293" s="4"/>
      <c r="AN293" s="5"/>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v>2537</v>
      </c>
      <c r="CM293" s="4">
        <f>2537*18000</f>
        <v>45666000</v>
      </c>
      <c r="CN293" s="6">
        <f>1000+1500</f>
        <v>2500</v>
      </c>
      <c r="CO293" s="7">
        <f>1000*37999.86+1500*36952</f>
        <v>93427860</v>
      </c>
      <c r="CP293" s="6">
        <f>1000+1500</f>
        <v>2500</v>
      </c>
      <c r="CQ293" s="7">
        <f>1000*35999.44+1500*36000</f>
        <v>89999440</v>
      </c>
      <c r="CR293" s="6"/>
      <c r="CS293" s="7"/>
      <c r="CT293" s="8">
        <f t="shared" si="76"/>
        <v>229093300</v>
      </c>
      <c r="CU293" s="9"/>
      <c r="CV293" s="10"/>
      <c r="CW293" s="11">
        <f>1000+1500+37</f>
        <v>2537</v>
      </c>
      <c r="CX293" s="12">
        <f>1000*84998.46+1500*85000+37*85000</f>
        <v>215643460</v>
      </c>
      <c r="CY293" s="26"/>
      <c r="CZ293" s="12"/>
      <c r="DA293" s="9"/>
      <c r="DB293" s="10"/>
      <c r="DC293" s="64"/>
    </row>
    <row r="294" spans="1:107" ht="33.75" outlineLevel="2">
      <c r="A294" s="178">
        <v>40386</v>
      </c>
      <c r="B294" s="82" t="s">
        <v>960</v>
      </c>
      <c r="C294" s="82" t="s">
        <v>1522</v>
      </c>
      <c r="D294" s="165" t="s">
        <v>1262</v>
      </c>
      <c r="E294" s="167"/>
      <c r="F294" s="66"/>
      <c r="G294" s="66"/>
      <c r="H294" s="66">
        <f>898*5</f>
        <v>4490</v>
      </c>
      <c r="I294" s="66">
        <v>898</v>
      </c>
      <c r="J294" s="66"/>
      <c r="K294" s="66">
        <v>898</v>
      </c>
      <c r="L294" s="66"/>
      <c r="M294" s="66"/>
      <c r="N294" s="66"/>
      <c r="O294" s="66"/>
      <c r="P294" s="66"/>
      <c r="Q294" s="66"/>
      <c r="R294" s="66"/>
      <c r="S294" s="66"/>
      <c r="T294" s="67">
        <v>450</v>
      </c>
      <c r="U294" s="151"/>
      <c r="V294" s="1">
        <v>40415</v>
      </c>
      <c r="W294" s="68">
        <f t="shared" si="71"/>
        <v>91000000</v>
      </c>
      <c r="X294" s="68">
        <f t="shared" si="72"/>
        <v>85000000</v>
      </c>
      <c r="Y294" s="68">
        <f t="shared" si="73"/>
        <v>0</v>
      </c>
      <c r="Z294" s="68">
        <f t="shared" si="74"/>
        <v>0</v>
      </c>
      <c r="AA294" s="68"/>
      <c r="AB294" s="68">
        <v>0</v>
      </c>
      <c r="AC294" s="69">
        <f t="shared" si="75"/>
        <v>176000000</v>
      </c>
      <c r="AD294" s="70">
        <v>0</v>
      </c>
      <c r="AE294" s="63">
        <v>40395</v>
      </c>
      <c r="AF294" s="72">
        <v>38939</v>
      </c>
      <c r="AG294" s="63" t="s">
        <v>954</v>
      </c>
      <c r="AH294" s="23" t="s">
        <v>955</v>
      </c>
      <c r="AI294" s="75" t="s">
        <v>235</v>
      </c>
      <c r="AJ294" s="133" t="s">
        <v>1122</v>
      </c>
      <c r="AK294" s="73" t="s">
        <v>1960</v>
      </c>
      <c r="AL294" s="3"/>
      <c r="AM294" s="4"/>
      <c r="AN294" s="5"/>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f>500+500</f>
        <v>1000</v>
      </c>
      <c r="CM294" s="4">
        <f>500*18000+500*18000</f>
        <v>18000000</v>
      </c>
      <c r="CN294" s="6">
        <v>1000</v>
      </c>
      <c r="CO294" s="7">
        <f>1000*37000</f>
        <v>37000000</v>
      </c>
      <c r="CP294" s="6">
        <v>1000</v>
      </c>
      <c r="CQ294" s="7">
        <f>1000*36000</f>
        <v>36000000</v>
      </c>
      <c r="CR294" s="6"/>
      <c r="CS294" s="7"/>
      <c r="CT294" s="8">
        <f t="shared" si="76"/>
        <v>91000000</v>
      </c>
      <c r="CU294" s="9"/>
      <c r="CV294" s="10"/>
      <c r="CW294" s="11">
        <v>1000</v>
      </c>
      <c r="CX294" s="12">
        <f>1000*85000</f>
        <v>85000000</v>
      </c>
      <c r="CY294" s="26"/>
      <c r="CZ294" s="12"/>
      <c r="DA294" s="9"/>
      <c r="DB294" s="10"/>
      <c r="DC294" s="64"/>
    </row>
    <row r="295" spans="1:107" ht="36" outlineLevel="2">
      <c r="A295" s="178">
        <v>40387</v>
      </c>
      <c r="B295" s="82" t="s">
        <v>960</v>
      </c>
      <c r="C295" s="82" t="s">
        <v>1428</v>
      </c>
      <c r="D295" s="165" t="s">
        <v>1262</v>
      </c>
      <c r="E295" s="167"/>
      <c r="F295" s="66"/>
      <c r="G295" s="66"/>
      <c r="H295" s="66">
        <f>1465*5</f>
        <v>7325</v>
      </c>
      <c r="I295" s="66">
        <v>1465</v>
      </c>
      <c r="J295" s="66"/>
      <c r="K295" s="66">
        <v>1465</v>
      </c>
      <c r="L295" s="66"/>
      <c r="M295" s="66"/>
      <c r="N295" s="66"/>
      <c r="O295" s="66"/>
      <c r="P295" s="66"/>
      <c r="Q295" s="66"/>
      <c r="R295" s="66"/>
      <c r="S295" s="66"/>
      <c r="T295" s="67"/>
      <c r="U295" s="151"/>
      <c r="V295" s="1">
        <v>40415</v>
      </c>
      <c r="W295" s="68">
        <f t="shared" si="71"/>
        <v>12600000</v>
      </c>
      <c r="X295" s="68">
        <f t="shared" si="72"/>
        <v>59500000</v>
      </c>
      <c r="Y295" s="68">
        <f t="shared" si="73"/>
        <v>0</v>
      </c>
      <c r="Z295" s="68">
        <f t="shared" si="74"/>
        <v>0</v>
      </c>
      <c r="AA295" s="68"/>
      <c r="AB295" s="68">
        <v>0</v>
      </c>
      <c r="AC295" s="69">
        <f t="shared" si="75"/>
        <v>72100000</v>
      </c>
      <c r="AD295" s="70">
        <v>133000000</v>
      </c>
      <c r="AE295" s="63">
        <v>40395</v>
      </c>
      <c r="AF295" s="79" t="s">
        <v>1536</v>
      </c>
      <c r="AG295" s="63" t="s">
        <v>954</v>
      </c>
      <c r="AH295" s="23" t="s">
        <v>955</v>
      </c>
      <c r="AI295" s="75" t="s">
        <v>2244</v>
      </c>
      <c r="AJ295" s="133"/>
      <c r="AK295" s="73" t="s">
        <v>1535</v>
      </c>
      <c r="AL295" s="3"/>
      <c r="AM295" s="4"/>
      <c r="AN295" s="5"/>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v>700</v>
      </c>
      <c r="CM295" s="4">
        <f>700*18000</f>
        <v>12600000</v>
      </c>
      <c r="CN295" s="6"/>
      <c r="CO295" s="7"/>
      <c r="CP295" s="6"/>
      <c r="CQ295" s="7"/>
      <c r="CR295" s="6"/>
      <c r="CS295" s="7"/>
      <c r="CT295" s="8">
        <f t="shared" si="76"/>
        <v>12600000</v>
      </c>
      <c r="CU295" s="9"/>
      <c r="CV295" s="10"/>
      <c r="CW295" s="11">
        <v>700</v>
      </c>
      <c r="CX295" s="12">
        <f>700*85000</f>
        <v>59500000</v>
      </c>
      <c r="CY295" s="26"/>
      <c r="CZ295" s="12"/>
      <c r="DA295" s="9"/>
      <c r="DB295" s="10"/>
      <c r="DC295" s="64"/>
    </row>
    <row r="296" spans="1:107" ht="84" outlineLevel="2">
      <c r="A296" s="178">
        <v>40390</v>
      </c>
      <c r="B296" s="82" t="s">
        <v>960</v>
      </c>
      <c r="C296" s="82" t="s">
        <v>260</v>
      </c>
      <c r="D296" s="165" t="s">
        <v>1262</v>
      </c>
      <c r="E296" s="167"/>
      <c r="F296" s="66"/>
      <c r="G296" s="66"/>
      <c r="H296" s="66">
        <f>1186*5</f>
        <v>5930</v>
      </c>
      <c r="I296" s="66">
        <v>1186</v>
      </c>
      <c r="J296" s="66"/>
      <c r="K296" s="66">
        <v>1186</v>
      </c>
      <c r="L296" s="66"/>
      <c r="M296" s="66"/>
      <c r="N296" s="66"/>
      <c r="O296" s="66"/>
      <c r="P296" s="66"/>
      <c r="Q296" s="66"/>
      <c r="R296" s="66"/>
      <c r="S296" s="66"/>
      <c r="T296" s="67"/>
      <c r="U296" s="151"/>
      <c r="V296" s="1">
        <v>40415</v>
      </c>
      <c r="W296" s="68">
        <f t="shared" si="71"/>
        <v>19656000</v>
      </c>
      <c r="X296" s="68">
        <f t="shared" si="72"/>
        <v>0</v>
      </c>
      <c r="Y296" s="68">
        <f t="shared" si="73"/>
        <v>0</v>
      </c>
      <c r="Z296" s="68">
        <f t="shared" si="74"/>
        <v>0</v>
      </c>
      <c r="AA296" s="68"/>
      <c r="AB296" s="68">
        <v>0</v>
      </c>
      <c r="AC296" s="69">
        <f t="shared" si="75"/>
        <v>19656000</v>
      </c>
      <c r="AD296" s="70">
        <v>0</v>
      </c>
      <c r="AE296" s="63">
        <v>40395</v>
      </c>
      <c r="AF296" s="72">
        <v>38939</v>
      </c>
      <c r="AG296" s="63" t="s">
        <v>954</v>
      </c>
      <c r="AH296" s="23" t="s">
        <v>955</v>
      </c>
      <c r="AI296" s="75" t="s">
        <v>2143</v>
      </c>
      <c r="AJ296" s="133"/>
      <c r="AK296" s="73" t="s">
        <v>261</v>
      </c>
      <c r="AL296" s="3"/>
      <c r="AM296" s="4"/>
      <c r="AN296" s="5"/>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f>500+592</f>
        <v>1092</v>
      </c>
      <c r="CM296" s="4">
        <f>500*18000+592*18000</f>
        <v>19656000</v>
      </c>
      <c r="CN296" s="6"/>
      <c r="CO296" s="7"/>
      <c r="CP296" s="6"/>
      <c r="CQ296" s="7"/>
      <c r="CR296" s="6"/>
      <c r="CS296" s="7"/>
      <c r="CT296" s="8">
        <f t="shared" si="76"/>
        <v>19656000</v>
      </c>
      <c r="CU296" s="9"/>
      <c r="CV296" s="10"/>
      <c r="CW296" s="11"/>
      <c r="CX296" s="12"/>
      <c r="CY296" s="26"/>
      <c r="CZ296" s="12"/>
      <c r="DA296" s="9"/>
      <c r="DB296" s="10"/>
      <c r="DC296" s="64"/>
    </row>
    <row r="297" spans="1:107" ht="33.75" outlineLevel="2">
      <c r="A297" s="178">
        <v>40390</v>
      </c>
      <c r="B297" s="82" t="s">
        <v>960</v>
      </c>
      <c r="C297" s="82" t="s">
        <v>925</v>
      </c>
      <c r="D297" s="165" t="s">
        <v>1262</v>
      </c>
      <c r="E297" s="167"/>
      <c r="F297" s="66"/>
      <c r="G297" s="66"/>
      <c r="H297" s="66">
        <f>1787*5</f>
        <v>8935</v>
      </c>
      <c r="I297" s="66">
        <v>1787</v>
      </c>
      <c r="J297" s="66"/>
      <c r="K297" s="66">
        <v>1787</v>
      </c>
      <c r="L297" s="66"/>
      <c r="M297" s="66"/>
      <c r="N297" s="66"/>
      <c r="O297" s="66"/>
      <c r="P297" s="66"/>
      <c r="Q297" s="66"/>
      <c r="R297" s="66"/>
      <c r="S297" s="66"/>
      <c r="T297" s="67"/>
      <c r="U297" s="151"/>
      <c r="V297" s="1">
        <v>40415</v>
      </c>
      <c r="W297" s="68">
        <f t="shared" si="71"/>
        <v>66538985</v>
      </c>
      <c r="X297" s="68">
        <f t="shared" si="72"/>
        <v>98855000</v>
      </c>
      <c r="Y297" s="68">
        <f t="shared" si="73"/>
        <v>0</v>
      </c>
      <c r="Z297" s="68">
        <f t="shared" si="74"/>
        <v>0</v>
      </c>
      <c r="AA297" s="68"/>
      <c r="AB297" s="68">
        <v>0</v>
      </c>
      <c r="AC297" s="69">
        <f t="shared" si="75"/>
        <v>165393985</v>
      </c>
      <c r="AD297" s="70">
        <v>0</v>
      </c>
      <c r="AE297" s="63">
        <v>40395</v>
      </c>
      <c r="AF297" s="72">
        <v>38939</v>
      </c>
      <c r="AG297" s="63" t="s">
        <v>954</v>
      </c>
      <c r="AH297" s="23" t="s">
        <v>955</v>
      </c>
      <c r="AI297" s="75" t="s">
        <v>353</v>
      </c>
      <c r="AJ297" s="133"/>
      <c r="AK297" s="73" t="s">
        <v>1612</v>
      </c>
      <c r="AL297" s="3"/>
      <c r="AM297" s="4"/>
      <c r="AN297" s="5"/>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f>600+573</f>
        <v>1173</v>
      </c>
      <c r="CM297" s="4">
        <f>600*18000+573*23000</f>
        <v>23979000</v>
      </c>
      <c r="CN297" s="6">
        <v>1163</v>
      </c>
      <c r="CO297" s="7">
        <f>1163*36595</f>
        <v>42559985</v>
      </c>
      <c r="CP297" s="6"/>
      <c r="CQ297" s="7"/>
      <c r="CR297" s="6"/>
      <c r="CS297" s="7"/>
      <c r="CT297" s="8">
        <f t="shared" si="76"/>
        <v>66538985</v>
      </c>
      <c r="CU297" s="9"/>
      <c r="CV297" s="10"/>
      <c r="CW297" s="11">
        <f>500+663</f>
        <v>1163</v>
      </c>
      <c r="CX297" s="12">
        <f>500*85000+663*85000</f>
        <v>98855000</v>
      </c>
      <c r="CY297" s="26"/>
      <c r="CZ297" s="12"/>
      <c r="DA297" s="9"/>
      <c r="DB297" s="10"/>
      <c r="DC297" s="64"/>
    </row>
    <row r="298" spans="1:107" ht="33.75" outlineLevel="2">
      <c r="A298" s="178">
        <v>40390</v>
      </c>
      <c r="B298" s="82" t="s">
        <v>960</v>
      </c>
      <c r="C298" s="82" t="s">
        <v>1360</v>
      </c>
      <c r="D298" s="165" t="s">
        <v>1262</v>
      </c>
      <c r="E298" s="167"/>
      <c r="F298" s="66"/>
      <c r="G298" s="66"/>
      <c r="H298" s="66">
        <f>843*5</f>
        <v>4215</v>
      </c>
      <c r="I298" s="66">
        <v>843</v>
      </c>
      <c r="J298" s="66"/>
      <c r="K298" s="66">
        <v>843</v>
      </c>
      <c r="L298" s="66"/>
      <c r="M298" s="66"/>
      <c r="N298" s="66"/>
      <c r="O298" s="66"/>
      <c r="P298" s="66"/>
      <c r="Q298" s="66"/>
      <c r="R298" s="66"/>
      <c r="S298" s="66"/>
      <c r="T298" s="67">
        <v>600</v>
      </c>
      <c r="U298" s="151"/>
      <c r="V298" s="1">
        <v>40415</v>
      </c>
      <c r="W298" s="68">
        <f t="shared" si="71"/>
        <v>4140000</v>
      </c>
      <c r="X298" s="68">
        <f t="shared" si="72"/>
        <v>19550000</v>
      </c>
      <c r="Y298" s="68">
        <f t="shared" si="73"/>
        <v>0</v>
      </c>
      <c r="Z298" s="68">
        <f t="shared" si="74"/>
        <v>9048000</v>
      </c>
      <c r="AA298" s="68"/>
      <c r="AB298" s="68">
        <v>0</v>
      </c>
      <c r="AC298" s="69">
        <f t="shared" si="75"/>
        <v>32738000</v>
      </c>
      <c r="AD298" s="70">
        <v>127450000</v>
      </c>
      <c r="AE298" s="63">
        <v>40395</v>
      </c>
      <c r="AF298" s="79" t="s">
        <v>1538</v>
      </c>
      <c r="AG298" s="63" t="s">
        <v>954</v>
      </c>
      <c r="AH298" s="23" t="s">
        <v>955</v>
      </c>
      <c r="AI298" s="75" t="s">
        <v>2249</v>
      </c>
      <c r="AJ298" s="133"/>
      <c r="AK298" s="73" t="s">
        <v>2045</v>
      </c>
      <c r="AL298" s="3"/>
      <c r="AM298" s="4"/>
      <c r="AN298" s="5"/>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v>230</v>
      </c>
      <c r="CM298" s="4">
        <f>230*18000</f>
        <v>4140000</v>
      </c>
      <c r="CN298" s="6"/>
      <c r="CO298" s="7"/>
      <c r="CP298" s="6"/>
      <c r="CQ298" s="7"/>
      <c r="CR298" s="6"/>
      <c r="CS298" s="7"/>
      <c r="CT298" s="8">
        <f t="shared" si="76"/>
        <v>4140000</v>
      </c>
      <c r="CU298" s="9">
        <v>10000</v>
      </c>
      <c r="CV298" s="10">
        <f>10000*904.8</f>
        <v>9048000</v>
      </c>
      <c r="CW298" s="11">
        <v>230</v>
      </c>
      <c r="CX298" s="12">
        <f>230*85000</f>
        <v>19550000</v>
      </c>
      <c r="CY298" s="26"/>
      <c r="CZ298" s="12"/>
      <c r="DA298" s="9"/>
      <c r="DB298" s="10"/>
      <c r="DC298" s="64"/>
    </row>
    <row r="299" spans="1:107" ht="33.75" outlineLevel="2">
      <c r="A299" s="178">
        <v>40390</v>
      </c>
      <c r="B299" s="82" t="s">
        <v>960</v>
      </c>
      <c r="C299" s="82" t="s">
        <v>1481</v>
      </c>
      <c r="D299" s="165" t="s">
        <v>1262</v>
      </c>
      <c r="E299" s="167"/>
      <c r="F299" s="66"/>
      <c r="G299" s="66"/>
      <c r="H299" s="66">
        <f>1725*5</f>
        <v>8625</v>
      </c>
      <c r="I299" s="66">
        <v>1725</v>
      </c>
      <c r="J299" s="66"/>
      <c r="K299" s="66">
        <v>1725</v>
      </c>
      <c r="L299" s="66"/>
      <c r="M299" s="66"/>
      <c r="N299" s="66"/>
      <c r="O299" s="66"/>
      <c r="P299" s="66"/>
      <c r="Q299" s="66"/>
      <c r="R299" s="66"/>
      <c r="S299" s="66"/>
      <c r="T299" s="67"/>
      <c r="U299" s="151"/>
      <c r="V299" s="1">
        <v>40415</v>
      </c>
      <c r="W299" s="68">
        <f t="shared" si="71"/>
        <v>30510000</v>
      </c>
      <c r="X299" s="68">
        <f t="shared" si="72"/>
        <v>144075000</v>
      </c>
      <c r="Y299" s="68">
        <f t="shared" si="73"/>
        <v>0</v>
      </c>
      <c r="Z299" s="68">
        <f t="shared" si="74"/>
        <v>0</v>
      </c>
      <c r="AA299" s="68"/>
      <c r="AB299" s="68">
        <v>0</v>
      </c>
      <c r="AC299" s="69">
        <f t="shared" si="75"/>
        <v>174585000</v>
      </c>
      <c r="AD299" s="70">
        <v>0</v>
      </c>
      <c r="AE299" s="63">
        <v>40395</v>
      </c>
      <c r="AF299" s="72">
        <v>38939</v>
      </c>
      <c r="AG299" s="63" t="s">
        <v>954</v>
      </c>
      <c r="AH299" s="23" t="s">
        <v>955</v>
      </c>
      <c r="AI299" s="75" t="s">
        <v>1778</v>
      </c>
      <c r="AJ299" s="133" t="s">
        <v>1476</v>
      </c>
      <c r="AK299" s="73" t="s">
        <v>1612</v>
      </c>
      <c r="AL299" s="3"/>
      <c r="AM299" s="4"/>
      <c r="AN299" s="5"/>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f>700+995</f>
        <v>1695</v>
      </c>
      <c r="CM299" s="4">
        <f>700*18000+995*18000</f>
        <v>30510000</v>
      </c>
      <c r="CN299" s="6"/>
      <c r="CO299" s="7"/>
      <c r="CP299" s="6"/>
      <c r="CQ299" s="7"/>
      <c r="CR299" s="6"/>
      <c r="CS299" s="7"/>
      <c r="CT299" s="8">
        <f t="shared" si="76"/>
        <v>30510000</v>
      </c>
      <c r="CU299" s="9"/>
      <c r="CV299" s="10"/>
      <c r="CW299" s="11">
        <f>700+995</f>
        <v>1695</v>
      </c>
      <c r="CX299" s="12">
        <f>700*85000+995*85000</f>
        <v>144075000</v>
      </c>
      <c r="CY299" s="26"/>
      <c r="CZ299" s="12"/>
      <c r="DA299" s="9"/>
      <c r="DB299" s="10"/>
      <c r="DC299" s="64"/>
    </row>
    <row r="300" spans="1:107" ht="22.5" outlineLevel="2">
      <c r="A300" s="178">
        <v>40390</v>
      </c>
      <c r="B300" s="82" t="s">
        <v>960</v>
      </c>
      <c r="C300" s="82" t="s">
        <v>1858</v>
      </c>
      <c r="D300" s="165" t="s">
        <v>1262</v>
      </c>
      <c r="E300" s="167"/>
      <c r="F300" s="66"/>
      <c r="G300" s="66"/>
      <c r="H300" s="66">
        <f>963*5</f>
        <v>4815</v>
      </c>
      <c r="I300" s="66">
        <v>963</v>
      </c>
      <c r="J300" s="66"/>
      <c r="K300" s="66">
        <v>963</v>
      </c>
      <c r="L300" s="66"/>
      <c r="M300" s="66"/>
      <c r="N300" s="66"/>
      <c r="O300" s="66"/>
      <c r="P300" s="66"/>
      <c r="Q300" s="66"/>
      <c r="R300" s="66"/>
      <c r="S300" s="66"/>
      <c r="T300" s="67"/>
      <c r="U300" s="151"/>
      <c r="V300" s="1">
        <v>40416</v>
      </c>
      <c r="W300" s="68">
        <f t="shared" si="71"/>
        <v>90952000</v>
      </c>
      <c r="X300" s="68">
        <f t="shared" si="72"/>
        <v>85000000</v>
      </c>
      <c r="Y300" s="68">
        <f t="shared" si="73"/>
        <v>0</v>
      </c>
      <c r="Z300" s="68">
        <f t="shared" si="74"/>
        <v>0</v>
      </c>
      <c r="AA300" s="68"/>
      <c r="AB300" s="68">
        <v>0</v>
      </c>
      <c r="AC300" s="69">
        <f t="shared" si="75"/>
        <v>175952000</v>
      </c>
      <c r="AD300" s="70">
        <v>0</v>
      </c>
      <c r="AE300" s="63">
        <v>40395</v>
      </c>
      <c r="AF300" s="72">
        <v>38939</v>
      </c>
      <c r="AG300" s="63" t="s">
        <v>954</v>
      </c>
      <c r="AH300" s="23" t="s">
        <v>955</v>
      </c>
      <c r="AI300" s="75" t="s">
        <v>221</v>
      </c>
      <c r="AJ300" s="133" t="s">
        <v>1476</v>
      </c>
      <c r="AK300" s="73" t="s">
        <v>1612</v>
      </c>
      <c r="AL300" s="3"/>
      <c r="AM300" s="4"/>
      <c r="AN300" s="5"/>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v>1000</v>
      </c>
      <c r="CM300" s="4">
        <f>1000*18000</f>
        <v>18000000</v>
      </c>
      <c r="CN300" s="6">
        <v>1000</v>
      </c>
      <c r="CO300" s="7">
        <f>1000*36952</f>
        <v>36952000</v>
      </c>
      <c r="CP300" s="6">
        <v>1000</v>
      </c>
      <c r="CQ300" s="7">
        <f>1000*36000</f>
        <v>36000000</v>
      </c>
      <c r="CR300" s="6"/>
      <c r="CS300" s="7"/>
      <c r="CT300" s="8">
        <f t="shared" si="76"/>
        <v>90952000</v>
      </c>
      <c r="CU300" s="9"/>
      <c r="CV300" s="10"/>
      <c r="CW300" s="11">
        <v>1000</v>
      </c>
      <c r="CX300" s="12">
        <f>1000*85000</f>
        <v>85000000</v>
      </c>
      <c r="CY300" s="26"/>
      <c r="CZ300" s="12"/>
      <c r="DA300" s="9"/>
      <c r="DB300" s="10"/>
      <c r="DC300" s="64"/>
    </row>
    <row r="301" spans="1:107" ht="22.5" outlineLevel="2">
      <c r="A301" s="178">
        <v>40390</v>
      </c>
      <c r="B301" s="82" t="s">
        <v>960</v>
      </c>
      <c r="C301" s="82" t="s">
        <v>2001</v>
      </c>
      <c r="D301" s="165" t="s">
        <v>1262</v>
      </c>
      <c r="E301" s="167"/>
      <c r="F301" s="66"/>
      <c r="G301" s="66"/>
      <c r="H301" s="66">
        <f>1150*5</f>
        <v>5750</v>
      </c>
      <c r="I301" s="66">
        <v>1150</v>
      </c>
      <c r="J301" s="66"/>
      <c r="K301" s="66">
        <v>1150</v>
      </c>
      <c r="L301" s="66"/>
      <c r="M301" s="66"/>
      <c r="N301" s="66"/>
      <c r="O301" s="66"/>
      <c r="P301" s="66"/>
      <c r="Q301" s="66"/>
      <c r="R301" s="66"/>
      <c r="S301" s="66"/>
      <c r="T301" s="67"/>
      <c r="U301" s="151"/>
      <c r="V301" s="1">
        <v>40415</v>
      </c>
      <c r="W301" s="68">
        <f t="shared" si="71"/>
        <v>7200000</v>
      </c>
      <c r="X301" s="68">
        <f t="shared" si="72"/>
        <v>0</v>
      </c>
      <c r="Y301" s="68">
        <f t="shared" si="73"/>
        <v>0</v>
      </c>
      <c r="Z301" s="68">
        <f t="shared" si="74"/>
        <v>0</v>
      </c>
      <c r="AA301" s="68"/>
      <c r="AB301" s="68">
        <v>0</v>
      </c>
      <c r="AC301" s="69">
        <f t="shared" si="75"/>
        <v>7200000</v>
      </c>
      <c r="AD301" s="70">
        <v>0</v>
      </c>
      <c r="AE301" s="63">
        <v>40395</v>
      </c>
      <c r="AF301" s="72">
        <v>38939</v>
      </c>
      <c r="AG301" s="63" t="s">
        <v>954</v>
      </c>
      <c r="AH301" s="23" t="s">
        <v>955</v>
      </c>
      <c r="AI301" s="75" t="s">
        <v>2143</v>
      </c>
      <c r="AJ301" s="133"/>
      <c r="AK301" s="73" t="s">
        <v>1612</v>
      </c>
      <c r="AL301" s="3"/>
      <c r="AM301" s="4"/>
      <c r="AN301" s="5"/>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f>300+100</f>
        <v>400</v>
      </c>
      <c r="CM301" s="4">
        <f>300*18000+100*18000</f>
        <v>7200000</v>
      </c>
      <c r="CN301" s="6"/>
      <c r="CO301" s="7"/>
      <c r="CP301" s="6"/>
      <c r="CQ301" s="7"/>
      <c r="CR301" s="6"/>
      <c r="CS301" s="7"/>
      <c r="CT301" s="8">
        <f t="shared" si="76"/>
        <v>7200000</v>
      </c>
      <c r="CU301" s="9"/>
      <c r="CV301" s="10"/>
      <c r="CW301" s="11"/>
      <c r="CX301" s="12"/>
      <c r="CY301" s="26"/>
      <c r="CZ301" s="12"/>
      <c r="DA301" s="9"/>
      <c r="DB301" s="10"/>
      <c r="DC301" s="64"/>
    </row>
    <row r="302" spans="1:107" ht="67.5" outlineLevel="2">
      <c r="A302" s="178">
        <v>40390</v>
      </c>
      <c r="B302" s="82" t="s">
        <v>960</v>
      </c>
      <c r="C302" s="82" t="s">
        <v>1484</v>
      </c>
      <c r="D302" s="165" t="s">
        <v>1262</v>
      </c>
      <c r="E302" s="167"/>
      <c r="F302" s="66"/>
      <c r="G302" s="66"/>
      <c r="H302" s="66">
        <f>2600*5</f>
        <v>13000</v>
      </c>
      <c r="I302" s="66">
        <v>2600</v>
      </c>
      <c r="J302" s="66"/>
      <c r="K302" s="66">
        <v>2600</v>
      </c>
      <c r="L302" s="66"/>
      <c r="M302" s="66"/>
      <c r="N302" s="66"/>
      <c r="O302" s="66"/>
      <c r="P302" s="66"/>
      <c r="Q302" s="66"/>
      <c r="R302" s="66"/>
      <c r="S302" s="66"/>
      <c r="T302" s="67"/>
      <c r="U302" s="151"/>
      <c r="V302" s="1">
        <v>40415</v>
      </c>
      <c r="W302" s="68">
        <f t="shared" si="71"/>
        <v>102571264</v>
      </c>
      <c r="X302" s="68">
        <f t="shared" si="72"/>
        <v>169999230</v>
      </c>
      <c r="Y302" s="68">
        <f t="shared" si="73"/>
        <v>0</v>
      </c>
      <c r="Z302" s="68">
        <f t="shared" si="74"/>
        <v>0</v>
      </c>
      <c r="AA302" s="68"/>
      <c r="AB302" s="68">
        <v>41825000</v>
      </c>
      <c r="AC302" s="69">
        <f t="shared" si="75"/>
        <v>314395494</v>
      </c>
      <c r="AD302" s="70">
        <v>225700000</v>
      </c>
      <c r="AE302" s="63">
        <v>40395</v>
      </c>
      <c r="AF302" s="72">
        <v>38939</v>
      </c>
      <c r="AG302" s="63" t="s">
        <v>954</v>
      </c>
      <c r="AH302" s="23" t="s">
        <v>955</v>
      </c>
      <c r="AI302" s="75" t="s">
        <v>1833</v>
      </c>
      <c r="AJ302" s="133" t="s">
        <v>2235</v>
      </c>
      <c r="AK302" s="73" t="s">
        <v>1800</v>
      </c>
      <c r="AL302" s="3"/>
      <c r="AM302" s="4"/>
      <c r="AN302" s="5"/>
      <c r="AO302" s="4"/>
      <c r="AP302" s="4"/>
      <c r="AQ302" s="4"/>
      <c r="AR302" s="4"/>
      <c r="AS302" s="4"/>
      <c r="AT302" s="4"/>
      <c r="AU302" s="4"/>
      <c r="AV302" s="4"/>
      <c r="AW302" s="4"/>
      <c r="AX302" s="4"/>
      <c r="AY302" s="4"/>
      <c r="AZ302" s="4"/>
      <c r="BA302" s="4"/>
      <c r="BB302" s="4"/>
      <c r="BC302" s="4"/>
      <c r="BD302" s="4"/>
      <c r="BE302" s="4"/>
      <c r="BF302" s="4"/>
      <c r="BG302" s="4"/>
      <c r="BH302" s="4"/>
      <c r="BI302" s="4"/>
      <c r="BJ302" s="4">
        <v>1000</v>
      </c>
      <c r="BK302" s="4">
        <f>1000*25500</f>
        <v>25500000</v>
      </c>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f>1000+342</f>
        <v>1342</v>
      </c>
      <c r="CM302" s="4">
        <f>1000*18000+342*18000</f>
        <v>24156000</v>
      </c>
      <c r="CN302" s="6">
        <v>1432</v>
      </c>
      <c r="CO302" s="7">
        <f>1432*36952</f>
        <v>52915264</v>
      </c>
      <c r="CP302" s="6"/>
      <c r="CQ302" s="7"/>
      <c r="CR302" s="6"/>
      <c r="CS302" s="7"/>
      <c r="CT302" s="8">
        <f t="shared" si="76"/>
        <v>102571264</v>
      </c>
      <c r="CU302" s="9"/>
      <c r="CV302" s="10"/>
      <c r="CW302" s="11">
        <f>500+500+1000</f>
        <v>2000</v>
      </c>
      <c r="CX302" s="12">
        <f>500*84998.46+500*85000+1000*85000</f>
        <v>169999230</v>
      </c>
      <c r="CY302" s="26"/>
      <c r="CZ302" s="12"/>
      <c r="DA302" s="9"/>
      <c r="DB302" s="10"/>
      <c r="DC302" s="64">
        <v>2</v>
      </c>
    </row>
    <row r="303" spans="1:107" ht="22.5" outlineLevel="2">
      <c r="A303" s="178">
        <v>40390</v>
      </c>
      <c r="B303" s="82" t="s">
        <v>960</v>
      </c>
      <c r="C303" s="82" t="s">
        <v>1049</v>
      </c>
      <c r="D303" s="165" t="s">
        <v>1262</v>
      </c>
      <c r="E303" s="167"/>
      <c r="F303" s="66"/>
      <c r="G303" s="66"/>
      <c r="H303" s="66">
        <f>576*5</f>
        <v>2880</v>
      </c>
      <c r="I303" s="66">
        <v>576</v>
      </c>
      <c r="J303" s="66"/>
      <c r="K303" s="66">
        <v>576</v>
      </c>
      <c r="L303" s="66"/>
      <c r="M303" s="66"/>
      <c r="N303" s="66"/>
      <c r="O303" s="66"/>
      <c r="P303" s="66"/>
      <c r="Q303" s="66"/>
      <c r="R303" s="66"/>
      <c r="S303" s="66"/>
      <c r="T303" s="67"/>
      <c r="U303" s="151"/>
      <c r="V303" s="1">
        <v>40415</v>
      </c>
      <c r="W303" s="68">
        <f t="shared" si="71"/>
        <v>7200000</v>
      </c>
      <c r="X303" s="68">
        <f t="shared" si="72"/>
        <v>34000000</v>
      </c>
      <c r="Y303" s="68">
        <f t="shared" si="73"/>
        <v>0</v>
      </c>
      <c r="Z303" s="68">
        <f t="shared" si="74"/>
        <v>0</v>
      </c>
      <c r="AA303" s="68"/>
      <c r="AB303" s="68">
        <v>0</v>
      </c>
      <c r="AC303" s="69">
        <f t="shared" si="75"/>
        <v>41200000</v>
      </c>
      <c r="AD303" s="70">
        <v>0</v>
      </c>
      <c r="AE303" s="63">
        <v>40395</v>
      </c>
      <c r="AF303" s="72">
        <v>38939</v>
      </c>
      <c r="AG303" s="63" t="s">
        <v>954</v>
      </c>
      <c r="AH303" s="23" t="s">
        <v>955</v>
      </c>
      <c r="AI303" s="75" t="s">
        <v>2245</v>
      </c>
      <c r="AJ303" s="133"/>
      <c r="AK303" s="73" t="s">
        <v>1612</v>
      </c>
      <c r="AL303" s="3"/>
      <c r="AM303" s="4"/>
      <c r="AN303" s="5"/>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v>400</v>
      </c>
      <c r="CM303" s="4">
        <f>400*18000</f>
        <v>7200000</v>
      </c>
      <c r="CN303" s="6"/>
      <c r="CO303" s="7"/>
      <c r="CP303" s="6"/>
      <c r="CQ303" s="7"/>
      <c r="CR303" s="6"/>
      <c r="CS303" s="7"/>
      <c r="CT303" s="8">
        <f t="shared" si="76"/>
        <v>7200000</v>
      </c>
      <c r="CU303" s="9"/>
      <c r="CV303" s="10"/>
      <c r="CW303" s="11">
        <v>400</v>
      </c>
      <c r="CX303" s="12">
        <f>400*85000</f>
        <v>34000000</v>
      </c>
      <c r="CY303" s="26"/>
      <c r="CZ303" s="12"/>
      <c r="DA303" s="9"/>
      <c r="DB303" s="10"/>
      <c r="DC303" s="64"/>
    </row>
    <row r="304" spans="1:107" ht="45" outlineLevel="2">
      <c r="A304" s="178">
        <v>40390</v>
      </c>
      <c r="B304" s="82" t="s">
        <v>960</v>
      </c>
      <c r="C304" s="82" t="s">
        <v>1483</v>
      </c>
      <c r="D304" s="165" t="s">
        <v>1262</v>
      </c>
      <c r="E304" s="167"/>
      <c r="F304" s="66"/>
      <c r="G304" s="66"/>
      <c r="H304" s="66">
        <f>1549*5</f>
        <v>7745</v>
      </c>
      <c r="I304" s="66">
        <v>1549</v>
      </c>
      <c r="J304" s="66"/>
      <c r="K304" s="66">
        <v>1549</v>
      </c>
      <c r="L304" s="66"/>
      <c r="M304" s="66"/>
      <c r="N304" s="66"/>
      <c r="O304" s="66"/>
      <c r="P304" s="66"/>
      <c r="Q304" s="66"/>
      <c r="R304" s="66"/>
      <c r="S304" s="66"/>
      <c r="T304" s="67"/>
      <c r="U304" s="151"/>
      <c r="V304" s="1">
        <v>40416</v>
      </c>
      <c r="W304" s="68">
        <f t="shared" si="71"/>
        <v>0</v>
      </c>
      <c r="X304" s="68">
        <f t="shared" si="72"/>
        <v>137615000</v>
      </c>
      <c r="Y304" s="68">
        <f t="shared" si="73"/>
        <v>0</v>
      </c>
      <c r="Z304" s="68">
        <f t="shared" si="74"/>
        <v>0</v>
      </c>
      <c r="AA304" s="68"/>
      <c r="AB304" s="68">
        <v>0</v>
      </c>
      <c r="AC304" s="69">
        <f t="shared" si="75"/>
        <v>137615000</v>
      </c>
      <c r="AD304" s="70">
        <v>0</v>
      </c>
      <c r="AE304" s="63">
        <v>40395</v>
      </c>
      <c r="AF304" s="72">
        <v>38939</v>
      </c>
      <c r="AG304" s="63" t="s">
        <v>954</v>
      </c>
      <c r="AH304" s="23" t="s">
        <v>955</v>
      </c>
      <c r="AI304" s="75" t="s">
        <v>2390</v>
      </c>
      <c r="AJ304" s="133" t="s">
        <v>415</v>
      </c>
      <c r="AK304" s="73" t="s">
        <v>1612</v>
      </c>
      <c r="AL304" s="3"/>
      <c r="AM304" s="4"/>
      <c r="AN304" s="5"/>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6"/>
      <c r="CO304" s="7"/>
      <c r="CP304" s="6"/>
      <c r="CQ304" s="7"/>
      <c r="CR304" s="6"/>
      <c r="CS304" s="7"/>
      <c r="CT304" s="8">
        <f t="shared" si="76"/>
        <v>0</v>
      </c>
      <c r="CU304" s="9"/>
      <c r="CV304" s="10"/>
      <c r="CW304" s="11">
        <f>70+1549</f>
        <v>1619</v>
      </c>
      <c r="CX304" s="12">
        <f>70*85000+1549*85000</f>
        <v>137615000</v>
      </c>
      <c r="CY304" s="26"/>
      <c r="CZ304" s="12"/>
      <c r="DA304" s="9"/>
      <c r="DB304" s="10"/>
      <c r="DC304" s="64"/>
    </row>
    <row r="305" spans="1:108" ht="33.75" outlineLevel="2">
      <c r="A305" s="178">
        <v>40390</v>
      </c>
      <c r="B305" s="82" t="s">
        <v>960</v>
      </c>
      <c r="C305" s="82" t="s">
        <v>2002</v>
      </c>
      <c r="D305" s="165" t="s">
        <v>1262</v>
      </c>
      <c r="E305" s="167"/>
      <c r="F305" s="66"/>
      <c r="G305" s="66"/>
      <c r="H305" s="66">
        <f>961*5</f>
        <v>4805</v>
      </c>
      <c r="I305" s="66">
        <v>961</v>
      </c>
      <c r="J305" s="66"/>
      <c r="K305" s="66">
        <v>961</v>
      </c>
      <c r="L305" s="66"/>
      <c r="M305" s="66"/>
      <c r="N305" s="66"/>
      <c r="O305" s="66"/>
      <c r="P305" s="66"/>
      <c r="Q305" s="66"/>
      <c r="R305" s="66"/>
      <c r="S305" s="66"/>
      <c r="T305" s="67"/>
      <c r="U305" s="151"/>
      <c r="V305" s="1">
        <v>40415</v>
      </c>
      <c r="W305" s="68">
        <f t="shared" ref="W305:W336" si="77">CT305</f>
        <v>52855000</v>
      </c>
      <c r="X305" s="68">
        <f t="shared" ref="X305:X336" si="78">CX305</f>
        <v>81685000</v>
      </c>
      <c r="Y305" s="68">
        <f t="shared" ref="Y305:Y336" si="79">CZ305+DB305</f>
        <v>0</v>
      </c>
      <c r="Z305" s="68">
        <f t="shared" ref="Z305:Z336" si="80">CV305</f>
        <v>0</v>
      </c>
      <c r="AA305" s="68"/>
      <c r="AB305" s="68">
        <v>0</v>
      </c>
      <c r="AC305" s="69">
        <f t="shared" ref="AC305:AC336" si="81">W305+X305+Y305+Z305+AA305+AB305</f>
        <v>134540000</v>
      </c>
      <c r="AD305" s="70">
        <v>83040000</v>
      </c>
      <c r="AE305" s="63">
        <v>40395</v>
      </c>
      <c r="AF305" s="79" t="s">
        <v>1537</v>
      </c>
      <c r="AG305" s="63" t="s">
        <v>954</v>
      </c>
      <c r="AH305" s="23" t="s">
        <v>955</v>
      </c>
      <c r="AI305" s="75" t="s">
        <v>314</v>
      </c>
      <c r="AJ305" s="133"/>
      <c r="AK305" s="73" t="s">
        <v>1612</v>
      </c>
      <c r="AL305" s="3"/>
      <c r="AM305" s="4"/>
      <c r="AN305" s="5"/>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f>500+461</f>
        <v>961</v>
      </c>
      <c r="CM305" s="4">
        <f>500*18000+461*18000</f>
        <v>17298000</v>
      </c>
      <c r="CN305" s="6">
        <v>961</v>
      </c>
      <c r="CO305" s="7">
        <f>961*37000</f>
        <v>35557000</v>
      </c>
      <c r="CP305" s="6"/>
      <c r="CQ305" s="7"/>
      <c r="CR305" s="6"/>
      <c r="CS305" s="7"/>
      <c r="CT305" s="8">
        <f t="shared" ref="CT305:CT336" si="82">AM305+AO305+AQ305+AS305+AU305+AW305+AY305+BA305+BC305+BE305+BG305+BI305+BK305+BM305+BO305+BQ305+BS305+BU305+BW305+BY305+CA305+CC305+CE305+CG305+CI305+CK305+CM305+CO305+CQ305+CS305</f>
        <v>52855000</v>
      </c>
      <c r="CU305" s="9"/>
      <c r="CV305" s="10"/>
      <c r="CW305" s="11">
        <f>500+461</f>
        <v>961</v>
      </c>
      <c r="CX305" s="12">
        <f>500*85000+461*85000</f>
        <v>81685000</v>
      </c>
      <c r="CY305" s="26"/>
      <c r="CZ305" s="12"/>
      <c r="DA305" s="9"/>
      <c r="DB305" s="10"/>
      <c r="DC305" s="64"/>
    </row>
    <row r="306" spans="1:108" outlineLevel="2">
      <c r="A306" s="178">
        <v>40390</v>
      </c>
      <c r="B306" s="82" t="s">
        <v>960</v>
      </c>
      <c r="C306" s="82" t="s">
        <v>1482</v>
      </c>
      <c r="D306" s="165" t="s">
        <v>1262</v>
      </c>
      <c r="E306" s="167"/>
      <c r="F306" s="66"/>
      <c r="G306" s="66"/>
      <c r="H306" s="66">
        <f>12*5</f>
        <v>60</v>
      </c>
      <c r="I306" s="66">
        <v>12</v>
      </c>
      <c r="J306" s="66"/>
      <c r="K306" s="66">
        <v>12</v>
      </c>
      <c r="L306" s="66"/>
      <c r="M306" s="66"/>
      <c r="N306" s="66"/>
      <c r="O306" s="66"/>
      <c r="P306" s="66"/>
      <c r="Q306" s="66"/>
      <c r="R306" s="66"/>
      <c r="S306" s="66"/>
      <c r="T306" s="67"/>
      <c r="U306" s="151"/>
      <c r="V306" s="1"/>
      <c r="W306" s="68">
        <f t="shared" si="77"/>
        <v>0</v>
      </c>
      <c r="X306" s="68">
        <f t="shared" si="78"/>
        <v>0</v>
      </c>
      <c r="Y306" s="68">
        <f t="shared" si="79"/>
        <v>0</v>
      </c>
      <c r="Z306" s="68">
        <f t="shared" si="80"/>
        <v>0</v>
      </c>
      <c r="AA306" s="68"/>
      <c r="AB306" s="68">
        <v>0</v>
      </c>
      <c r="AC306" s="69">
        <f t="shared" si="81"/>
        <v>0</v>
      </c>
      <c r="AD306" s="70">
        <v>0</v>
      </c>
      <c r="AE306" s="63">
        <v>40393</v>
      </c>
      <c r="AF306" s="72"/>
      <c r="AG306" s="63" t="s">
        <v>938</v>
      </c>
      <c r="AH306" s="23" t="s">
        <v>939</v>
      </c>
      <c r="AI306" s="60"/>
      <c r="AJ306" s="133" t="s">
        <v>1608</v>
      </c>
      <c r="AK306" s="73" t="s">
        <v>1612</v>
      </c>
      <c r="AL306" s="3"/>
      <c r="AM306" s="4"/>
      <c r="AN306" s="5"/>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6"/>
      <c r="CO306" s="7"/>
      <c r="CP306" s="6"/>
      <c r="CQ306" s="7"/>
      <c r="CR306" s="6"/>
      <c r="CS306" s="7"/>
      <c r="CT306" s="8">
        <f t="shared" si="82"/>
        <v>0</v>
      </c>
      <c r="CU306" s="9"/>
      <c r="CV306" s="10"/>
      <c r="CW306" s="11"/>
      <c r="CX306" s="12"/>
      <c r="CY306" s="26"/>
      <c r="CZ306" s="12"/>
      <c r="DA306" s="9"/>
      <c r="DB306" s="10"/>
      <c r="DC306" s="64"/>
    </row>
    <row r="307" spans="1:108" ht="78.75" outlineLevel="2">
      <c r="A307" s="178">
        <v>40391</v>
      </c>
      <c r="B307" s="82" t="s">
        <v>960</v>
      </c>
      <c r="C307" s="82" t="s">
        <v>923</v>
      </c>
      <c r="D307" s="165" t="s">
        <v>1262</v>
      </c>
      <c r="E307" s="167"/>
      <c r="F307" s="66"/>
      <c r="G307" s="66"/>
      <c r="H307" s="66">
        <f>7948*5</f>
        <v>39740</v>
      </c>
      <c r="I307" s="66">
        <v>7948</v>
      </c>
      <c r="J307" s="66"/>
      <c r="K307" s="66">
        <v>7948</v>
      </c>
      <c r="L307" s="66"/>
      <c r="M307" s="66"/>
      <c r="N307" s="66"/>
      <c r="O307" s="66"/>
      <c r="P307" s="66"/>
      <c r="Q307" s="66"/>
      <c r="R307" s="66"/>
      <c r="S307" s="66"/>
      <c r="T307" s="67"/>
      <c r="U307" s="151"/>
      <c r="V307" s="1">
        <v>40415</v>
      </c>
      <c r="W307" s="68">
        <f t="shared" si="77"/>
        <v>212700000</v>
      </c>
      <c r="X307" s="68">
        <f t="shared" si="78"/>
        <v>544000000</v>
      </c>
      <c r="Y307" s="68">
        <f t="shared" si="79"/>
        <v>0</v>
      </c>
      <c r="Z307" s="68">
        <f t="shared" si="80"/>
        <v>0</v>
      </c>
      <c r="AA307" s="68"/>
      <c r="AB307" s="68">
        <v>0</v>
      </c>
      <c r="AC307" s="69">
        <f t="shared" si="81"/>
        <v>756700000</v>
      </c>
      <c r="AD307" s="70">
        <v>0</v>
      </c>
      <c r="AE307" s="63">
        <v>40395</v>
      </c>
      <c r="AF307" s="72">
        <v>38939</v>
      </c>
      <c r="AG307" s="63" t="s">
        <v>954</v>
      </c>
      <c r="AH307" s="23" t="s">
        <v>955</v>
      </c>
      <c r="AI307" s="75" t="s">
        <v>315</v>
      </c>
      <c r="AJ307" s="133" t="s">
        <v>1122</v>
      </c>
      <c r="AK307" s="121" t="s">
        <v>215</v>
      </c>
      <c r="AL307" s="3"/>
      <c r="AM307" s="4"/>
      <c r="AN307" s="5"/>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f>1500+2500+600+2300</f>
        <v>6900</v>
      </c>
      <c r="CM307" s="4">
        <f>1500*18000+2500*18000+600*23000+2300*23000</f>
        <v>138700000</v>
      </c>
      <c r="CN307" s="6">
        <v>2000</v>
      </c>
      <c r="CO307" s="7">
        <f>2000*37000</f>
        <v>74000000</v>
      </c>
      <c r="CP307" s="6"/>
      <c r="CQ307" s="7"/>
      <c r="CR307" s="6"/>
      <c r="CS307" s="7"/>
      <c r="CT307" s="8">
        <f t="shared" si="82"/>
        <v>212700000</v>
      </c>
      <c r="CU307" s="9"/>
      <c r="CV307" s="10"/>
      <c r="CW307" s="11">
        <f>500+1000+2000+1180+1720</f>
        <v>6400</v>
      </c>
      <c r="CX307" s="12">
        <f>500*85000+1000*85000+2000*85000+1180*85000+1720*85000</f>
        <v>544000000</v>
      </c>
      <c r="CY307" s="26"/>
      <c r="CZ307" s="12"/>
      <c r="DA307" s="9"/>
      <c r="DB307" s="10"/>
      <c r="DC307" s="64"/>
    </row>
    <row r="308" spans="1:108" ht="56.25" outlineLevel="2">
      <c r="A308" s="178">
        <v>40394</v>
      </c>
      <c r="B308" s="82" t="s">
        <v>960</v>
      </c>
      <c r="C308" s="82" t="s">
        <v>1510</v>
      </c>
      <c r="D308" s="165" t="s">
        <v>1262</v>
      </c>
      <c r="E308" s="167"/>
      <c r="F308" s="66"/>
      <c r="G308" s="66"/>
      <c r="H308" s="66">
        <f>2316*5</f>
        <v>11580</v>
      </c>
      <c r="I308" s="66">
        <v>2316</v>
      </c>
      <c r="J308" s="66"/>
      <c r="K308" s="66">
        <v>2316</v>
      </c>
      <c r="L308" s="66"/>
      <c r="M308" s="66"/>
      <c r="N308" s="66"/>
      <c r="O308" s="66"/>
      <c r="P308" s="66"/>
      <c r="Q308" s="66"/>
      <c r="R308" s="66"/>
      <c r="S308" s="66"/>
      <c r="T308" s="67"/>
      <c r="U308" s="151"/>
      <c r="V308" s="1">
        <v>40415</v>
      </c>
      <c r="W308" s="68">
        <f t="shared" si="77"/>
        <v>121718680</v>
      </c>
      <c r="X308" s="68">
        <f t="shared" si="78"/>
        <v>145859230</v>
      </c>
      <c r="Y308" s="68">
        <f t="shared" si="79"/>
        <v>0</v>
      </c>
      <c r="Z308" s="68">
        <f t="shared" si="80"/>
        <v>9048000</v>
      </c>
      <c r="AA308" s="68"/>
      <c r="AB308" s="68">
        <v>0</v>
      </c>
      <c r="AC308" s="69">
        <f t="shared" si="81"/>
        <v>276625910</v>
      </c>
      <c r="AD308" s="70">
        <v>196860000</v>
      </c>
      <c r="AE308" s="63">
        <v>40395</v>
      </c>
      <c r="AF308" s="72">
        <v>38939</v>
      </c>
      <c r="AG308" s="63" t="s">
        <v>954</v>
      </c>
      <c r="AH308" s="23" t="s">
        <v>955</v>
      </c>
      <c r="AI308" s="75" t="s">
        <v>321</v>
      </c>
      <c r="AJ308" s="133" t="s">
        <v>415</v>
      </c>
      <c r="AK308" s="73" t="s">
        <v>1612</v>
      </c>
      <c r="AL308" s="3"/>
      <c r="AM308" s="4"/>
      <c r="AN308" s="5"/>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f>1000+1215</f>
        <v>2215</v>
      </c>
      <c r="CM308" s="4">
        <f>1000*18000+1215*18000</f>
        <v>39870000</v>
      </c>
      <c r="CN308" s="6">
        <v>2215</v>
      </c>
      <c r="CO308" s="7">
        <f>2215*36952</f>
        <v>81848680</v>
      </c>
      <c r="CP308" s="6"/>
      <c r="CQ308" s="7"/>
      <c r="CR308" s="6"/>
      <c r="CS308" s="7"/>
      <c r="CT308" s="8">
        <f t="shared" si="82"/>
        <v>121718680</v>
      </c>
      <c r="CU308" s="9">
        <v>10000</v>
      </c>
      <c r="CV308" s="10">
        <f>10000*904.8</f>
        <v>9048000</v>
      </c>
      <c r="CW308" s="11">
        <f>500+1216</f>
        <v>1716</v>
      </c>
      <c r="CX308" s="12">
        <f>500*84998.46+1216*85000</f>
        <v>145859230</v>
      </c>
      <c r="CY308" s="26"/>
      <c r="CZ308" s="12"/>
      <c r="DA308" s="9"/>
      <c r="DB308" s="10"/>
      <c r="DC308" s="64"/>
    </row>
    <row r="309" spans="1:108" ht="60" outlineLevel="2">
      <c r="A309" s="178">
        <v>40394</v>
      </c>
      <c r="B309" s="82" t="s">
        <v>960</v>
      </c>
      <c r="C309" s="82" t="s">
        <v>1509</v>
      </c>
      <c r="D309" s="165" t="s">
        <v>1262</v>
      </c>
      <c r="E309" s="167"/>
      <c r="F309" s="66"/>
      <c r="G309" s="66"/>
      <c r="H309" s="66">
        <f>630*5</f>
        <v>3150</v>
      </c>
      <c r="I309" s="66">
        <v>630</v>
      </c>
      <c r="J309" s="66"/>
      <c r="K309" s="66">
        <v>630</v>
      </c>
      <c r="L309" s="66"/>
      <c r="M309" s="66"/>
      <c r="N309" s="66"/>
      <c r="O309" s="66"/>
      <c r="P309" s="66"/>
      <c r="Q309" s="66"/>
      <c r="R309" s="66"/>
      <c r="S309" s="66"/>
      <c r="T309" s="67"/>
      <c r="U309" s="151"/>
      <c r="V309" s="1">
        <v>40415</v>
      </c>
      <c r="W309" s="68">
        <f t="shared" si="77"/>
        <v>4320000</v>
      </c>
      <c r="X309" s="68">
        <f t="shared" si="78"/>
        <v>20400000</v>
      </c>
      <c r="Y309" s="68">
        <f t="shared" si="79"/>
        <v>0</v>
      </c>
      <c r="Z309" s="68">
        <f t="shared" si="80"/>
        <v>9048000</v>
      </c>
      <c r="AA309" s="68"/>
      <c r="AB309" s="68">
        <v>30000000</v>
      </c>
      <c r="AC309" s="69">
        <f t="shared" si="81"/>
        <v>63768000</v>
      </c>
      <c r="AD309" s="70">
        <v>0</v>
      </c>
      <c r="AE309" s="63">
        <v>40395</v>
      </c>
      <c r="AF309" s="72">
        <v>38939</v>
      </c>
      <c r="AG309" s="63" t="s">
        <v>954</v>
      </c>
      <c r="AH309" s="23" t="s">
        <v>955</v>
      </c>
      <c r="AI309" s="75" t="s">
        <v>317</v>
      </c>
      <c r="AJ309" s="133" t="s">
        <v>415</v>
      </c>
      <c r="AK309" s="73" t="s">
        <v>784</v>
      </c>
      <c r="AL309" s="3"/>
      <c r="AM309" s="4"/>
      <c r="AN309" s="5"/>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f>200+40</f>
        <v>240</v>
      </c>
      <c r="CM309" s="4">
        <f>200*18000+40*18000</f>
        <v>4320000</v>
      </c>
      <c r="CN309" s="6"/>
      <c r="CO309" s="7"/>
      <c r="CP309" s="6"/>
      <c r="CQ309" s="7"/>
      <c r="CR309" s="6"/>
      <c r="CS309" s="7"/>
      <c r="CT309" s="8">
        <f t="shared" si="82"/>
        <v>4320000</v>
      </c>
      <c r="CU309" s="9">
        <v>10000</v>
      </c>
      <c r="CV309" s="10">
        <f>10000*904.8</f>
        <v>9048000</v>
      </c>
      <c r="CW309" s="11">
        <f>200+40</f>
        <v>240</v>
      </c>
      <c r="CX309" s="12">
        <f>200*85000+40*85000</f>
        <v>20400000</v>
      </c>
      <c r="CY309" s="26"/>
      <c r="CZ309" s="12"/>
      <c r="DA309" s="9"/>
      <c r="DB309" s="10"/>
      <c r="DC309" s="64"/>
    </row>
    <row r="310" spans="1:108" ht="45" outlineLevel="2">
      <c r="A310" s="178">
        <v>40394</v>
      </c>
      <c r="B310" s="82" t="s">
        <v>960</v>
      </c>
      <c r="C310" s="82" t="s">
        <v>1260</v>
      </c>
      <c r="D310" s="165" t="s">
        <v>1262</v>
      </c>
      <c r="E310" s="167"/>
      <c r="F310" s="66"/>
      <c r="G310" s="66"/>
      <c r="H310" s="66">
        <f>621*5</f>
        <v>3105</v>
      </c>
      <c r="I310" s="66">
        <v>621</v>
      </c>
      <c r="J310" s="66"/>
      <c r="K310" s="66">
        <v>621</v>
      </c>
      <c r="L310" s="66"/>
      <c r="M310" s="66"/>
      <c r="N310" s="66"/>
      <c r="O310" s="66"/>
      <c r="P310" s="66"/>
      <c r="Q310" s="66"/>
      <c r="R310" s="66"/>
      <c r="S310" s="66"/>
      <c r="T310" s="67"/>
      <c r="U310" s="151"/>
      <c r="V310" s="1">
        <v>40415</v>
      </c>
      <c r="W310" s="68">
        <f t="shared" si="77"/>
        <v>7452000</v>
      </c>
      <c r="X310" s="68">
        <f t="shared" si="78"/>
        <v>35190000</v>
      </c>
      <c r="Y310" s="68">
        <f t="shared" si="79"/>
        <v>0</v>
      </c>
      <c r="Z310" s="68">
        <f t="shared" si="80"/>
        <v>9048000</v>
      </c>
      <c r="AA310" s="68"/>
      <c r="AB310" s="68">
        <v>0</v>
      </c>
      <c r="AC310" s="69">
        <f t="shared" si="81"/>
        <v>51690000</v>
      </c>
      <c r="AD310" s="70">
        <v>0</v>
      </c>
      <c r="AE310" s="63">
        <v>40395</v>
      </c>
      <c r="AF310" s="72">
        <v>38939</v>
      </c>
      <c r="AG310" s="63" t="s">
        <v>954</v>
      </c>
      <c r="AH310" s="23" t="s">
        <v>955</v>
      </c>
      <c r="AI310" s="75" t="s">
        <v>2416</v>
      </c>
      <c r="AJ310" s="133" t="s">
        <v>415</v>
      </c>
      <c r="AK310" s="121" t="s">
        <v>1784</v>
      </c>
      <c r="AL310" s="3"/>
      <c r="AM310" s="4"/>
      <c r="AN310" s="5"/>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v>414</v>
      </c>
      <c r="CM310" s="4">
        <f>414*18000</f>
        <v>7452000</v>
      </c>
      <c r="CN310" s="6"/>
      <c r="CO310" s="7"/>
      <c r="CP310" s="6"/>
      <c r="CQ310" s="7"/>
      <c r="CR310" s="6"/>
      <c r="CS310" s="7"/>
      <c r="CT310" s="8">
        <f t="shared" si="82"/>
        <v>7452000</v>
      </c>
      <c r="CU310" s="9">
        <v>10000</v>
      </c>
      <c r="CV310" s="10">
        <f>10000*904.8</f>
        <v>9048000</v>
      </c>
      <c r="CW310" s="11">
        <v>414</v>
      </c>
      <c r="CX310" s="12">
        <f>414*85000</f>
        <v>35190000</v>
      </c>
      <c r="CY310" s="26"/>
      <c r="CZ310" s="12"/>
      <c r="DA310" s="9"/>
      <c r="DB310" s="10"/>
      <c r="DC310" s="64"/>
    </row>
    <row r="311" spans="1:108" ht="72" outlineLevel="2">
      <c r="A311" s="178">
        <v>40395</v>
      </c>
      <c r="B311" s="82" t="s">
        <v>960</v>
      </c>
      <c r="C311" s="82" t="s">
        <v>918</v>
      </c>
      <c r="D311" s="165" t="s">
        <v>1262</v>
      </c>
      <c r="E311" s="167"/>
      <c r="F311" s="66"/>
      <c r="G311" s="66"/>
      <c r="H311" s="66">
        <f>2241*5</f>
        <v>11205</v>
      </c>
      <c r="I311" s="66">
        <v>2241</v>
      </c>
      <c r="J311" s="66"/>
      <c r="K311" s="66">
        <v>2241</v>
      </c>
      <c r="L311" s="66"/>
      <c r="M311" s="66"/>
      <c r="N311" s="66"/>
      <c r="O311" s="66"/>
      <c r="P311" s="66"/>
      <c r="Q311" s="66"/>
      <c r="R311" s="66"/>
      <c r="S311" s="66"/>
      <c r="T311" s="67"/>
      <c r="U311" s="151"/>
      <c r="V311" s="1">
        <v>40415</v>
      </c>
      <c r="W311" s="68">
        <f t="shared" si="77"/>
        <v>13302000</v>
      </c>
      <c r="X311" s="68">
        <f t="shared" si="78"/>
        <v>31450000</v>
      </c>
      <c r="Y311" s="68">
        <f t="shared" si="79"/>
        <v>0</v>
      </c>
      <c r="Z311" s="68">
        <f t="shared" si="80"/>
        <v>0</v>
      </c>
      <c r="AA311" s="68"/>
      <c r="AB311" s="68">
        <v>69894000</v>
      </c>
      <c r="AC311" s="69">
        <f t="shared" si="81"/>
        <v>114646000</v>
      </c>
      <c r="AD311" s="70">
        <v>0</v>
      </c>
      <c r="AE311" s="63">
        <v>40395</v>
      </c>
      <c r="AF311" s="72">
        <v>38939</v>
      </c>
      <c r="AG311" s="63" t="s">
        <v>954</v>
      </c>
      <c r="AH311" s="23" t="s">
        <v>955</v>
      </c>
      <c r="AI311" s="75" t="s">
        <v>316</v>
      </c>
      <c r="AJ311" s="133" t="s">
        <v>415</v>
      </c>
      <c r="AK311" s="73" t="s">
        <v>1830</v>
      </c>
      <c r="AL311" s="3"/>
      <c r="AM311" s="4"/>
      <c r="AN311" s="5"/>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f>370+369</f>
        <v>739</v>
      </c>
      <c r="CM311" s="4">
        <f>370*18000+369*18000</f>
        <v>13302000</v>
      </c>
      <c r="CN311" s="6"/>
      <c r="CO311" s="7"/>
      <c r="CP311" s="6"/>
      <c r="CQ311" s="7"/>
      <c r="CR311" s="6"/>
      <c r="CS311" s="7"/>
      <c r="CT311" s="8">
        <f t="shared" si="82"/>
        <v>13302000</v>
      </c>
      <c r="CU311" s="9"/>
      <c r="CV311" s="10"/>
      <c r="CW311" s="11">
        <v>370</v>
      </c>
      <c r="CX311" s="12">
        <f>370*85000</f>
        <v>31450000</v>
      </c>
      <c r="CY311" s="26"/>
      <c r="CZ311" s="12"/>
      <c r="DA311" s="9"/>
      <c r="DB311" s="10"/>
      <c r="DC311" s="64"/>
    </row>
    <row r="312" spans="1:108" ht="48" outlineLevel="2">
      <c r="A312" s="178">
        <v>40398</v>
      </c>
      <c r="B312" s="82" t="s">
        <v>960</v>
      </c>
      <c r="C312" s="82" t="s">
        <v>919</v>
      </c>
      <c r="D312" s="165" t="s">
        <v>1262</v>
      </c>
      <c r="E312" s="167"/>
      <c r="F312" s="66"/>
      <c r="G312" s="66"/>
      <c r="H312" s="66">
        <f>326*5</f>
        <v>1630</v>
      </c>
      <c r="I312" s="66">
        <v>326</v>
      </c>
      <c r="J312" s="66"/>
      <c r="K312" s="66">
        <v>326</v>
      </c>
      <c r="L312" s="66"/>
      <c r="M312" s="66"/>
      <c r="N312" s="66"/>
      <c r="O312" s="66"/>
      <c r="P312" s="66"/>
      <c r="Q312" s="66"/>
      <c r="R312" s="66"/>
      <c r="S312" s="66"/>
      <c r="T312" s="67"/>
      <c r="U312" s="151"/>
      <c r="V312" s="1"/>
      <c r="W312" s="68">
        <f t="shared" si="77"/>
        <v>5868000</v>
      </c>
      <c r="X312" s="68">
        <f t="shared" si="78"/>
        <v>27710000</v>
      </c>
      <c r="Y312" s="68">
        <f t="shared" si="79"/>
        <v>0</v>
      </c>
      <c r="Z312" s="68">
        <f t="shared" si="80"/>
        <v>0</v>
      </c>
      <c r="AA312" s="68"/>
      <c r="AB312" s="68">
        <v>0</v>
      </c>
      <c r="AC312" s="69">
        <f t="shared" si="81"/>
        <v>33578000</v>
      </c>
      <c r="AD312" s="70">
        <v>0</v>
      </c>
      <c r="AE312" s="63">
        <v>40400</v>
      </c>
      <c r="AF312" s="72">
        <v>47162</v>
      </c>
      <c r="AG312" s="63" t="s">
        <v>954</v>
      </c>
      <c r="AH312" s="23" t="s">
        <v>955</v>
      </c>
      <c r="AI312" s="60">
        <v>24652</v>
      </c>
      <c r="AJ312" s="133" t="s">
        <v>415</v>
      </c>
      <c r="AK312" s="73" t="s">
        <v>2046</v>
      </c>
      <c r="AL312" s="3"/>
      <c r="AM312" s="4"/>
      <c r="AN312" s="5"/>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v>326</v>
      </c>
      <c r="CM312" s="4">
        <f>326*18000</f>
        <v>5868000</v>
      </c>
      <c r="CN312" s="6"/>
      <c r="CO312" s="7"/>
      <c r="CP312" s="6"/>
      <c r="CQ312" s="7"/>
      <c r="CR312" s="6"/>
      <c r="CS312" s="7"/>
      <c r="CT312" s="8">
        <f t="shared" si="82"/>
        <v>5868000</v>
      </c>
      <c r="CU312" s="9"/>
      <c r="CV312" s="10"/>
      <c r="CW312" s="11">
        <v>326</v>
      </c>
      <c r="CX312" s="12">
        <f>326*85000</f>
        <v>27710000</v>
      </c>
      <c r="CY312" s="26"/>
      <c r="CZ312" s="12"/>
      <c r="DA312" s="9"/>
      <c r="DB312" s="10"/>
      <c r="DC312" s="64"/>
    </row>
    <row r="313" spans="1:108" ht="48" outlineLevel="2">
      <c r="A313" s="178">
        <v>40402</v>
      </c>
      <c r="B313" s="82" t="s">
        <v>960</v>
      </c>
      <c r="C313" s="82" t="s">
        <v>1589</v>
      </c>
      <c r="D313" s="165" t="s">
        <v>1262</v>
      </c>
      <c r="E313" s="167">
        <v>1</v>
      </c>
      <c r="F313" s="66"/>
      <c r="G313" s="66"/>
      <c r="H313" s="66">
        <v>1100</v>
      </c>
      <c r="I313" s="66">
        <v>220</v>
      </c>
      <c r="J313" s="66"/>
      <c r="K313" s="66">
        <v>220</v>
      </c>
      <c r="L313" s="66"/>
      <c r="M313" s="66"/>
      <c r="N313" s="66"/>
      <c r="O313" s="66"/>
      <c r="P313" s="66"/>
      <c r="Q313" s="66"/>
      <c r="R313" s="66"/>
      <c r="S313" s="66"/>
      <c r="T313" s="67"/>
      <c r="U313" s="151"/>
      <c r="V313" s="1"/>
      <c r="W313" s="68">
        <f t="shared" si="77"/>
        <v>0</v>
      </c>
      <c r="X313" s="68">
        <f t="shared" si="78"/>
        <v>0</v>
      </c>
      <c r="Y313" s="68">
        <f t="shared" si="79"/>
        <v>0</v>
      </c>
      <c r="Z313" s="68">
        <f t="shared" si="80"/>
        <v>0</v>
      </c>
      <c r="AA313" s="68"/>
      <c r="AB313" s="68">
        <v>0</v>
      </c>
      <c r="AC313" s="69">
        <f t="shared" si="81"/>
        <v>0</v>
      </c>
      <c r="AD313" s="70">
        <v>0</v>
      </c>
      <c r="AE313" s="63">
        <v>40403</v>
      </c>
      <c r="AF313" s="72"/>
      <c r="AG313" s="63" t="s">
        <v>938</v>
      </c>
      <c r="AH313" s="23" t="s">
        <v>939</v>
      </c>
      <c r="AI313" s="60"/>
      <c r="AJ313" s="133" t="s">
        <v>1608</v>
      </c>
      <c r="AK313" s="73" t="s">
        <v>2054</v>
      </c>
      <c r="AL313" s="3"/>
      <c r="AM313" s="4"/>
      <c r="AN313" s="5"/>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6"/>
      <c r="CO313" s="7"/>
      <c r="CP313" s="6"/>
      <c r="CQ313" s="7"/>
      <c r="CR313" s="6"/>
      <c r="CS313" s="7"/>
      <c r="CT313" s="8">
        <f t="shared" si="82"/>
        <v>0</v>
      </c>
      <c r="CU313" s="9"/>
      <c r="CV313" s="10"/>
      <c r="CW313" s="11"/>
      <c r="CX313" s="12"/>
      <c r="CY313" s="26"/>
      <c r="CZ313" s="12"/>
      <c r="DA313" s="9"/>
      <c r="DB313" s="10"/>
      <c r="DC313" s="64"/>
      <c r="DD313" s="22">
        <v>1214</v>
      </c>
    </row>
    <row r="314" spans="1:108" ht="48" outlineLevel="2">
      <c r="A314" s="178">
        <v>40402</v>
      </c>
      <c r="B314" s="82" t="s">
        <v>960</v>
      </c>
      <c r="C314" s="82" t="s">
        <v>916</v>
      </c>
      <c r="D314" s="165" t="s">
        <v>1262</v>
      </c>
      <c r="E314" s="167"/>
      <c r="F314" s="66"/>
      <c r="G314" s="66"/>
      <c r="H314" s="66">
        <v>850</v>
      </c>
      <c r="I314" s="66">
        <v>160</v>
      </c>
      <c r="J314" s="66"/>
      <c r="K314" s="66">
        <v>160</v>
      </c>
      <c r="L314" s="66"/>
      <c r="M314" s="66"/>
      <c r="N314" s="66"/>
      <c r="O314" s="66"/>
      <c r="P314" s="66"/>
      <c r="Q314" s="66"/>
      <c r="R314" s="66"/>
      <c r="S314" s="66"/>
      <c r="T314" s="67"/>
      <c r="U314" s="151"/>
      <c r="V314" s="1"/>
      <c r="W314" s="68">
        <f t="shared" si="77"/>
        <v>0</v>
      </c>
      <c r="X314" s="68">
        <f t="shared" si="78"/>
        <v>0</v>
      </c>
      <c r="Y314" s="68">
        <f t="shared" si="79"/>
        <v>0</v>
      </c>
      <c r="Z314" s="68">
        <f t="shared" si="80"/>
        <v>0</v>
      </c>
      <c r="AA314" s="68"/>
      <c r="AB314" s="68">
        <v>0</v>
      </c>
      <c r="AC314" s="69">
        <f t="shared" si="81"/>
        <v>0</v>
      </c>
      <c r="AD314" s="70">
        <v>0</v>
      </c>
      <c r="AE314" s="63">
        <v>40403</v>
      </c>
      <c r="AF314" s="72"/>
      <c r="AG314" s="63" t="s">
        <v>938</v>
      </c>
      <c r="AH314" s="23" t="s">
        <v>939</v>
      </c>
      <c r="AI314" s="60"/>
      <c r="AJ314" s="133" t="s">
        <v>1608</v>
      </c>
      <c r="AK314" s="73" t="s">
        <v>2066</v>
      </c>
      <c r="AL314" s="3"/>
      <c r="AM314" s="4"/>
      <c r="AN314" s="5"/>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6"/>
      <c r="CO314" s="7"/>
      <c r="CP314" s="6"/>
      <c r="CQ314" s="7"/>
      <c r="CR314" s="6"/>
      <c r="CS314" s="7"/>
      <c r="CT314" s="8">
        <f t="shared" si="82"/>
        <v>0</v>
      </c>
      <c r="CU314" s="9"/>
      <c r="CV314" s="10"/>
      <c r="CW314" s="11"/>
      <c r="CX314" s="12"/>
      <c r="CY314" s="26"/>
      <c r="CZ314" s="12"/>
      <c r="DA314" s="9"/>
      <c r="DB314" s="10"/>
      <c r="DC314" s="64"/>
    </row>
    <row r="315" spans="1:108" ht="16.5" outlineLevel="2">
      <c r="A315" s="178">
        <v>40412</v>
      </c>
      <c r="B315" s="82" t="s">
        <v>960</v>
      </c>
      <c r="C315" s="82" t="s">
        <v>1482</v>
      </c>
      <c r="D315" s="165" t="s">
        <v>435</v>
      </c>
      <c r="E315" s="167"/>
      <c r="F315" s="66"/>
      <c r="G315" s="66"/>
      <c r="H315" s="66">
        <v>1000</v>
      </c>
      <c r="I315" s="66">
        <v>200</v>
      </c>
      <c r="J315" s="66">
        <v>4</v>
      </c>
      <c r="K315" s="66">
        <v>196</v>
      </c>
      <c r="L315" s="66"/>
      <c r="M315" s="66"/>
      <c r="N315" s="66"/>
      <c r="O315" s="66"/>
      <c r="P315" s="66"/>
      <c r="Q315" s="66"/>
      <c r="R315" s="66"/>
      <c r="S315" s="66"/>
      <c r="T315" s="67"/>
      <c r="U315" s="151" t="s">
        <v>1158</v>
      </c>
      <c r="V315" s="1"/>
      <c r="W315" s="68">
        <f t="shared" si="77"/>
        <v>0</v>
      </c>
      <c r="X315" s="68">
        <f t="shared" si="78"/>
        <v>0</v>
      </c>
      <c r="Y315" s="68">
        <f t="shared" si="79"/>
        <v>0</v>
      </c>
      <c r="Z315" s="68">
        <f t="shared" si="80"/>
        <v>0</v>
      </c>
      <c r="AA315" s="68"/>
      <c r="AB315" s="68">
        <v>0</v>
      </c>
      <c r="AC315" s="69">
        <f t="shared" si="81"/>
        <v>0</v>
      </c>
      <c r="AD315" s="70">
        <v>0</v>
      </c>
      <c r="AE315" s="63">
        <v>40413</v>
      </c>
      <c r="AF315" s="72"/>
      <c r="AG315" s="63" t="s">
        <v>938</v>
      </c>
      <c r="AH315" s="23" t="s">
        <v>939</v>
      </c>
      <c r="AI315" s="60"/>
      <c r="AJ315" s="133" t="s">
        <v>1608</v>
      </c>
      <c r="AK315" s="73" t="s">
        <v>2104</v>
      </c>
      <c r="AL315" s="3"/>
      <c r="AM315" s="4"/>
      <c r="AN315" s="5"/>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6"/>
      <c r="CO315" s="7"/>
      <c r="CP315" s="6"/>
      <c r="CQ315" s="7"/>
      <c r="CR315" s="6"/>
      <c r="CS315" s="7"/>
      <c r="CT315" s="8">
        <f t="shared" si="82"/>
        <v>0</v>
      </c>
      <c r="CU315" s="9"/>
      <c r="CV315" s="10"/>
      <c r="CW315" s="11"/>
      <c r="CX315" s="12"/>
      <c r="CY315" s="26"/>
      <c r="CZ315" s="12"/>
      <c r="DA315" s="9"/>
      <c r="DB315" s="10"/>
      <c r="DC315" s="64"/>
    </row>
    <row r="316" spans="1:108" ht="144" outlineLevel="2">
      <c r="A316" s="178">
        <v>40413</v>
      </c>
      <c r="B316" s="174" t="s">
        <v>960</v>
      </c>
      <c r="C316" s="174" t="s">
        <v>1702</v>
      </c>
      <c r="D316" s="179" t="s">
        <v>1262</v>
      </c>
      <c r="E316" s="163"/>
      <c r="F316" s="105"/>
      <c r="G316" s="105"/>
      <c r="H316" s="105">
        <f>8592*5</f>
        <v>42960</v>
      </c>
      <c r="I316" s="105">
        <v>8592</v>
      </c>
      <c r="J316" s="105"/>
      <c r="K316" s="105">
        <v>8592</v>
      </c>
      <c r="L316" s="105"/>
      <c r="M316" s="105"/>
      <c r="N316" s="105"/>
      <c r="O316" s="105"/>
      <c r="P316" s="105"/>
      <c r="Q316" s="105"/>
      <c r="R316" s="105"/>
      <c r="S316" s="105"/>
      <c r="T316" s="106"/>
      <c r="U316" s="130"/>
      <c r="V316" s="1">
        <v>40427</v>
      </c>
      <c r="W316" s="68">
        <f t="shared" si="77"/>
        <v>195926000</v>
      </c>
      <c r="X316" s="68">
        <f t="shared" si="78"/>
        <v>620160000</v>
      </c>
      <c r="Y316" s="68">
        <f t="shared" si="79"/>
        <v>0</v>
      </c>
      <c r="Z316" s="68">
        <f t="shared" si="80"/>
        <v>0</v>
      </c>
      <c r="AA316" s="68"/>
      <c r="AB316" s="68">
        <v>0</v>
      </c>
      <c r="AC316" s="69">
        <f t="shared" si="81"/>
        <v>816086000</v>
      </c>
      <c r="AD316" s="70">
        <f>739720000-152660000</f>
        <v>587060000</v>
      </c>
      <c r="AE316" s="63">
        <v>40423</v>
      </c>
      <c r="AF316" s="72">
        <v>45466</v>
      </c>
      <c r="AG316" s="63" t="s">
        <v>954</v>
      </c>
      <c r="AH316" s="23" t="s">
        <v>955</v>
      </c>
      <c r="AI316" s="75" t="s">
        <v>2389</v>
      </c>
      <c r="AJ316" s="124" t="s">
        <v>1476</v>
      </c>
      <c r="AK316" s="121" t="s">
        <v>2240</v>
      </c>
      <c r="AL316" s="107"/>
      <c r="AM316" s="108"/>
      <c r="AN316" s="109"/>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c r="CH316" s="108"/>
      <c r="CI316" s="108"/>
      <c r="CJ316" s="108"/>
      <c r="CK316" s="108"/>
      <c r="CL316" s="108">
        <f>1000+5779</f>
        <v>6779</v>
      </c>
      <c r="CM316" s="108">
        <f>1000*18000+5779*18000</f>
        <v>122022000</v>
      </c>
      <c r="CN316" s="110">
        <v>2000</v>
      </c>
      <c r="CO316" s="111">
        <f>2000*36952</f>
        <v>73904000</v>
      </c>
      <c r="CP316" s="110"/>
      <c r="CQ316" s="111"/>
      <c r="CR316" s="110"/>
      <c r="CS316" s="111"/>
      <c r="CT316" s="112">
        <f t="shared" si="82"/>
        <v>195926000</v>
      </c>
      <c r="CU316" s="113"/>
      <c r="CV316" s="114"/>
      <c r="CW316" s="115">
        <f>3000+2000+500+1796</f>
        <v>7296</v>
      </c>
      <c r="CX316" s="116">
        <f>3000*85000+2000*85000+500*85000+1796*85000</f>
        <v>620160000</v>
      </c>
      <c r="CY316" s="117"/>
      <c r="CZ316" s="116"/>
      <c r="DA316" s="113"/>
      <c r="DB316" s="114"/>
      <c r="DC316" s="64"/>
      <c r="DD316" s="118"/>
    </row>
    <row r="317" spans="1:108" ht="45" outlineLevel="2">
      <c r="A317" s="178">
        <v>40415</v>
      </c>
      <c r="B317" s="174" t="s">
        <v>960</v>
      </c>
      <c r="C317" s="174" t="s">
        <v>924</v>
      </c>
      <c r="D317" s="179" t="s">
        <v>1262</v>
      </c>
      <c r="E317" s="163"/>
      <c r="F317" s="105"/>
      <c r="G317" s="105"/>
      <c r="H317" s="105">
        <f>2000*5</f>
        <v>10000</v>
      </c>
      <c r="I317" s="105">
        <v>2000</v>
      </c>
      <c r="J317" s="105"/>
      <c r="K317" s="105">
        <v>2000</v>
      </c>
      <c r="L317" s="105"/>
      <c r="M317" s="105"/>
      <c r="N317" s="105"/>
      <c r="O317" s="105"/>
      <c r="P317" s="105"/>
      <c r="Q317" s="105"/>
      <c r="R317" s="105"/>
      <c r="S317" s="105"/>
      <c r="T317" s="106"/>
      <c r="U317" s="130"/>
      <c r="V317" s="1">
        <v>40452</v>
      </c>
      <c r="W317" s="68">
        <f t="shared" si="77"/>
        <v>31032000</v>
      </c>
      <c r="X317" s="68">
        <f t="shared" si="78"/>
        <v>146540000</v>
      </c>
      <c r="Y317" s="68">
        <f t="shared" si="79"/>
        <v>0</v>
      </c>
      <c r="Z317" s="68">
        <f t="shared" si="80"/>
        <v>0</v>
      </c>
      <c r="AA317" s="68"/>
      <c r="AB317" s="68">
        <v>0</v>
      </c>
      <c r="AC317" s="69">
        <f t="shared" si="81"/>
        <v>177572000</v>
      </c>
      <c r="AD317" s="70">
        <v>0</v>
      </c>
      <c r="AE317" s="63">
        <v>40415</v>
      </c>
      <c r="AF317" s="72">
        <v>47005</v>
      </c>
      <c r="AG317" s="63" t="s">
        <v>954</v>
      </c>
      <c r="AH317" s="23" t="s">
        <v>955</v>
      </c>
      <c r="AI317" s="75" t="s">
        <v>319</v>
      </c>
      <c r="AJ317" s="124" t="s">
        <v>415</v>
      </c>
      <c r="AK317" s="121" t="s">
        <v>1612</v>
      </c>
      <c r="AL317" s="107"/>
      <c r="AM317" s="108"/>
      <c r="AN317" s="109"/>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08">
        <v>1724</v>
      </c>
      <c r="CM317" s="108">
        <f>1724*18000</f>
        <v>31032000</v>
      </c>
      <c r="CN317" s="110"/>
      <c r="CO317" s="111"/>
      <c r="CP317" s="110"/>
      <c r="CQ317" s="111"/>
      <c r="CR317" s="110"/>
      <c r="CS317" s="111"/>
      <c r="CT317" s="112">
        <f t="shared" si="82"/>
        <v>31032000</v>
      </c>
      <c r="CU317" s="113"/>
      <c r="CV317" s="114"/>
      <c r="CW317" s="115">
        <f>1200+524</f>
        <v>1724</v>
      </c>
      <c r="CX317" s="116">
        <f>1200*85000+524*85000</f>
        <v>146540000</v>
      </c>
      <c r="CY317" s="117"/>
      <c r="CZ317" s="116"/>
      <c r="DA317" s="113"/>
      <c r="DB317" s="114"/>
      <c r="DC317" s="64"/>
      <c r="DD317" s="118"/>
    </row>
    <row r="318" spans="1:108" ht="48" outlineLevel="2">
      <c r="A318" s="178">
        <v>40415</v>
      </c>
      <c r="B318" s="174" t="s">
        <v>960</v>
      </c>
      <c r="C318" s="174" t="s">
        <v>2236</v>
      </c>
      <c r="D318" s="179" t="s">
        <v>1262</v>
      </c>
      <c r="E318" s="163"/>
      <c r="F318" s="105"/>
      <c r="G318" s="105"/>
      <c r="H318" s="105">
        <f>2686*5</f>
        <v>13430</v>
      </c>
      <c r="I318" s="105">
        <v>2686</v>
      </c>
      <c r="J318" s="105"/>
      <c r="K318" s="105">
        <v>2686</v>
      </c>
      <c r="L318" s="105"/>
      <c r="M318" s="105"/>
      <c r="N318" s="105"/>
      <c r="O318" s="105"/>
      <c r="P318" s="105"/>
      <c r="Q318" s="105"/>
      <c r="R318" s="105"/>
      <c r="S318" s="105"/>
      <c r="T318" s="106"/>
      <c r="U318" s="130"/>
      <c r="V318" s="1">
        <v>40452</v>
      </c>
      <c r="W318" s="68">
        <f t="shared" si="77"/>
        <v>33480000</v>
      </c>
      <c r="X318" s="68">
        <f t="shared" si="78"/>
        <v>158100000</v>
      </c>
      <c r="Y318" s="68">
        <f t="shared" si="79"/>
        <v>0</v>
      </c>
      <c r="Z318" s="68">
        <f t="shared" si="80"/>
        <v>0</v>
      </c>
      <c r="AA318" s="68"/>
      <c r="AB318" s="68">
        <v>30000000</v>
      </c>
      <c r="AC318" s="69">
        <f t="shared" si="81"/>
        <v>221580000</v>
      </c>
      <c r="AD318" s="70">
        <v>0</v>
      </c>
      <c r="AE318" s="63">
        <v>40415</v>
      </c>
      <c r="AF318" s="72">
        <v>51824</v>
      </c>
      <c r="AG318" s="63" t="s">
        <v>954</v>
      </c>
      <c r="AH318" s="23" t="s">
        <v>955</v>
      </c>
      <c r="AI318" s="75" t="s">
        <v>320</v>
      </c>
      <c r="AJ318" s="124" t="s">
        <v>415</v>
      </c>
      <c r="AK318" s="121" t="s">
        <v>757</v>
      </c>
      <c r="AL318" s="107"/>
      <c r="AM318" s="108"/>
      <c r="AN318" s="109"/>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08">
        <f>1200+660</f>
        <v>1860</v>
      </c>
      <c r="CM318" s="108">
        <f>1200*18000+660*18000</f>
        <v>33480000</v>
      </c>
      <c r="CN318" s="110"/>
      <c r="CO318" s="111"/>
      <c r="CP318" s="110"/>
      <c r="CQ318" s="111"/>
      <c r="CR318" s="110"/>
      <c r="CS318" s="111"/>
      <c r="CT318" s="112">
        <f t="shared" si="82"/>
        <v>33480000</v>
      </c>
      <c r="CU318" s="113"/>
      <c r="CV318" s="114"/>
      <c r="CW318" s="115">
        <f>1200+660</f>
        <v>1860</v>
      </c>
      <c r="CX318" s="116">
        <f>1200*85000+660*85000</f>
        <v>158100000</v>
      </c>
      <c r="CY318" s="117"/>
      <c r="CZ318" s="116"/>
      <c r="DA318" s="113"/>
      <c r="DB318" s="114"/>
      <c r="DC318" s="64"/>
      <c r="DD318" s="118"/>
    </row>
    <row r="319" spans="1:108" ht="48" outlineLevel="2">
      <c r="A319" s="178">
        <v>40425</v>
      </c>
      <c r="B319" s="174" t="s">
        <v>960</v>
      </c>
      <c r="C319" s="174" t="s">
        <v>1735</v>
      </c>
      <c r="D319" s="179" t="s">
        <v>1262</v>
      </c>
      <c r="E319" s="163"/>
      <c r="F319" s="105"/>
      <c r="G319" s="105"/>
      <c r="H319" s="105">
        <f>40*5</f>
        <v>200</v>
      </c>
      <c r="I319" s="105">
        <v>40</v>
      </c>
      <c r="J319" s="105"/>
      <c r="K319" s="105">
        <v>40</v>
      </c>
      <c r="L319" s="105"/>
      <c r="M319" s="105"/>
      <c r="N319" s="105"/>
      <c r="O319" s="105"/>
      <c r="P319" s="105"/>
      <c r="Q319" s="105"/>
      <c r="R319" s="105"/>
      <c r="S319" s="105"/>
      <c r="T319" s="106"/>
      <c r="U319" s="130"/>
      <c r="V319" s="1"/>
      <c r="W319" s="68">
        <f t="shared" si="77"/>
        <v>0</v>
      </c>
      <c r="X319" s="68">
        <f t="shared" si="78"/>
        <v>0</v>
      </c>
      <c r="Y319" s="68">
        <f t="shared" si="79"/>
        <v>0</v>
      </c>
      <c r="Z319" s="68">
        <f t="shared" si="80"/>
        <v>0</v>
      </c>
      <c r="AA319" s="68"/>
      <c r="AB319" s="68">
        <v>0</v>
      </c>
      <c r="AC319" s="69">
        <f t="shared" si="81"/>
        <v>0</v>
      </c>
      <c r="AD319" s="70">
        <v>0</v>
      </c>
      <c r="AE319" s="63">
        <v>40428</v>
      </c>
      <c r="AF319" s="72"/>
      <c r="AG319" s="63" t="s">
        <v>938</v>
      </c>
      <c r="AH319" s="23" t="s">
        <v>939</v>
      </c>
      <c r="AI319" s="60"/>
      <c r="AJ319" s="124" t="s">
        <v>1608</v>
      </c>
      <c r="AK319" s="121" t="s">
        <v>1736</v>
      </c>
      <c r="AL319" s="107"/>
      <c r="AM319" s="108"/>
      <c r="AN319" s="109"/>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08"/>
      <c r="CM319" s="108"/>
      <c r="CN319" s="110"/>
      <c r="CO319" s="111"/>
      <c r="CP319" s="110"/>
      <c r="CQ319" s="111"/>
      <c r="CR319" s="110"/>
      <c r="CS319" s="111"/>
      <c r="CT319" s="112">
        <f t="shared" si="82"/>
        <v>0</v>
      </c>
      <c r="CU319" s="113"/>
      <c r="CV319" s="114"/>
      <c r="CW319" s="115"/>
      <c r="CX319" s="116"/>
      <c r="CY319" s="117"/>
      <c r="CZ319" s="116"/>
      <c r="DA319" s="113"/>
      <c r="DB319" s="114"/>
      <c r="DC319" s="64"/>
      <c r="DD319" s="118"/>
    </row>
    <row r="320" spans="1:108" ht="45" outlineLevel="2">
      <c r="A320" s="178">
        <v>40433</v>
      </c>
      <c r="B320" s="174" t="s">
        <v>960</v>
      </c>
      <c r="C320" s="174" t="s">
        <v>1049</v>
      </c>
      <c r="D320" s="179" t="s">
        <v>1262</v>
      </c>
      <c r="E320" s="163"/>
      <c r="F320" s="105"/>
      <c r="G320" s="105"/>
      <c r="H320" s="105">
        <v>285</v>
      </c>
      <c r="I320" s="105">
        <v>57</v>
      </c>
      <c r="J320" s="105">
        <v>7</v>
      </c>
      <c r="K320" s="105">
        <v>50</v>
      </c>
      <c r="L320" s="105">
        <v>1</v>
      </c>
      <c r="M320" s="105"/>
      <c r="N320" s="105"/>
      <c r="O320" s="105"/>
      <c r="P320" s="105"/>
      <c r="Q320" s="105"/>
      <c r="R320" s="105"/>
      <c r="S320" s="105"/>
      <c r="T320" s="106">
        <v>100</v>
      </c>
      <c r="U320" s="130" t="s">
        <v>414</v>
      </c>
      <c r="V320" s="1">
        <v>40514</v>
      </c>
      <c r="W320" s="68">
        <f t="shared" si="77"/>
        <v>3168000</v>
      </c>
      <c r="X320" s="68">
        <f t="shared" si="78"/>
        <v>14960000</v>
      </c>
      <c r="Y320" s="68">
        <f t="shared" si="79"/>
        <v>0</v>
      </c>
      <c r="Z320" s="68">
        <f t="shared" si="80"/>
        <v>0</v>
      </c>
      <c r="AA320" s="68"/>
      <c r="AB320" s="68">
        <v>0</v>
      </c>
      <c r="AC320" s="69">
        <f t="shared" si="81"/>
        <v>18128000</v>
      </c>
      <c r="AD320" s="70">
        <v>0</v>
      </c>
      <c r="AE320" s="63">
        <v>40435</v>
      </c>
      <c r="AF320" s="72">
        <v>47005</v>
      </c>
      <c r="AG320" s="63" t="s">
        <v>954</v>
      </c>
      <c r="AH320" s="23" t="s">
        <v>955</v>
      </c>
      <c r="AI320" s="60">
        <v>23792</v>
      </c>
      <c r="AJ320" s="133" t="s">
        <v>415</v>
      </c>
      <c r="AK320" s="121" t="s">
        <v>450</v>
      </c>
      <c r="AL320" s="107"/>
      <c r="AM320" s="108"/>
      <c r="AN320" s="109"/>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08">
        <v>176</v>
      </c>
      <c r="CM320" s="108">
        <f>176*18000</f>
        <v>3168000</v>
      </c>
      <c r="CN320" s="110"/>
      <c r="CO320" s="111"/>
      <c r="CP320" s="110"/>
      <c r="CQ320" s="111"/>
      <c r="CR320" s="110"/>
      <c r="CS320" s="111"/>
      <c r="CT320" s="112">
        <f t="shared" si="82"/>
        <v>3168000</v>
      </c>
      <c r="CU320" s="113"/>
      <c r="CV320" s="114"/>
      <c r="CW320" s="115">
        <v>176</v>
      </c>
      <c r="CX320" s="116">
        <f>176*85000</f>
        <v>14960000</v>
      </c>
      <c r="CY320" s="117"/>
      <c r="CZ320" s="116"/>
      <c r="DA320" s="113"/>
      <c r="DB320" s="114"/>
      <c r="DC320" s="64"/>
      <c r="DD320" s="118"/>
    </row>
    <row r="321" spans="1:108" ht="24" outlineLevel="2">
      <c r="A321" s="178">
        <v>40440</v>
      </c>
      <c r="B321" s="164" t="s">
        <v>960</v>
      </c>
      <c r="C321" s="164" t="s">
        <v>916</v>
      </c>
      <c r="D321" s="165" t="s">
        <v>1182</v>
      </c>
      <c r="E321" s="163"/>
      <c r="F321" s="105"/>
      <c r="G321" s="105"/>
      <c r="H321" s="105">
        <v>7</v>
      </c>
      <c r="I321" s="105">
        <v>1</v>
      </c>
      <c r="J321" s="105"/>
      <c r="K321" s="105">
        <v>1</v>
      </c>
      <c r="L321" s="105"/>
      <c r="M321" s="105"/>
      <c r="N321" s="105"/>
      <c r="O321" s="105"/>
      <c r="P321" s="105"/>
      <c r="Q321" s="105"/>
      <c r="R321" s="105"/>
      <c r="S321" s="105"/>
      <c r="T321" s="106"/>
      <c r="U321" s="130"/>
      <c r="V321" s="1"/>
      <c r="W321" s="68">
        <f t="shared" si="77"/>
        <v>0</v>
      </c>
      <c r="X321" s="68">
        <f t="shared" si="78"/>
        <v>0</v>
      </c>
      <c r="Y321" s="68">
        <f t="shared" si="79"/>
        <v>0</v>
      </c>
      <c r="Z321" s="68">
        <f t="shared" si="80"/>
        <v>0</v>
      </c>
      <c r="AA321" s="68"/>
      <c r="AB321" s="68">
        <v>0</v>
      </c>
      <c r="AC321" s="69">
        <f t="shared" si="81"/>
        <v>0</v>
      </c>
      <c r="AD321" s="70">
        <v>0</v>
      </c>
      <c r="AE321" s="63">
        <v>40441</v>
      </c>
      <c r="AF321" s="72"/>
      <c r="AG321" s="63" t="s">
        <v>938</v>
      </c>
      <c r="AH321" s="23" t="s">
        <v>939</v>
      </c>
      <c r="AI321" s="60"/>
      <c r="AJ321" s="124" t="s">
        <v>1608</v>
      </c>
      <c r="AK321" s="121" t="s">
        <v>1306</v>
      </c>
      <c r="AL321" s="107"/>
      <c r="AM321" s="108"/>
      <c r="AN321" s="109"/>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08"/>
      <c r="CM321" s="108"/>
      <c r="CN321" s="110"/>
      <c r="CO321" s="111"/>
      <c r="CP321" s="110"/>
      <c r="CQ321" s="111"/>
      <c r="CR321" s="110"/>
      <c r="CS321" s="111"/>
      <c r="CT321" s="112">
        <f t="shared" si="82"/>
        <v>0</v>
      </c>
      <c r="CU321" s="113"/>
      <c r="CV321" s="114"/>
      <c r="CW321" s="115"/>
      <c r="CX321" s="116"/>
      <c r="CY321" s="117"/>
      <c r="CZ321" s="116"/>
      <c r="DA321" s="113"/>
      <c r="DB321" s="114"/>
      <c r="DC321" s="64"/>
      <c r="DD321" s="118"/>
    </row>
    <row r="322" spans="1:108" ht="48" outlineLevel="2">
      <c r="A322" s="178">
        <v>40442</v>
      </c>
      <c r="B322" s="164" t="s">
        <v>960</v>
      </c>
      <c r="C322" s="164" t="s">
        <v>1317</v>
      </c>
      <c r="D322" s="166" t="s">
        <v>1262</v>
      </c>
      <c r="E322" s="163"/>
      <c r="F322" s="105"/>
      <c r="G322" s="105"/>
      <c r="H322" s="105">
        <v>600</v>
      </c>
      <c r="I322" s="105">
        <v>120</v>
      </c>
      <c r="J322" s="105"/>
      <c r="K322" s="105">
        <v>120</v>
      </c>
      <c r="L322" s="105"/>
      <c r="M322" s="105"/>
      <c r="N322" s="105"/>
      <c r="O322" s="105"/>
      <c r="P322" s="105"/>
      <c r="Q322" s="105"/>
      <c r="R322" s="105"/>
      <c r="S322" s="105"/>
      <c r="T322" s="106"/>
      <c r="U322" s="130"/>
      <c r="V322" s="1"/>
      <c r="W322" s="68">
        <f t="shared" si="77"/>
        <v>0</v>
      </c>
      <c r="X322" s="68">
        <f t="shared" si="78"/>
        <v>0</v>
      </c>
      <c r="Y322" s="68">
        <f t="shared" si="79"/>
        <v>0</v>
      </c>
      <c r="Z322" s="68">
        <f t="shared" si="80"/>
        <v>0</v>
      </c>
      <c r="AA322" s="68"/>
      <c r="AB322" s="68">
        <v>0</v>
      </c>
      <c r="AC322" s="69">
        <f t="shared" si="81"/>
        <v>0</v>
      </c>
      <c r="AD322" s="70">
        <v>0</v>
      </c>
      <c r="AE322" s="63">
        <v>40444</v>
      </c>
      <c r="AF322" s="72"/>
      <c r="AG322" s="63" t="s">
        <v>938</v>
      </c>
      <c r="AH322" s="23" t="s">
        <v>939</v>
      </c>
      <c r="AI322" s="60"/>
      <c r="AJ322" s="124" t="s">
        <v>1608</v>
      </c>
      <c r="AK322" s="121" t="s">
        <v>1318</v>
      </c>
      <c r="AL322" s="107"/>
      <c r="AM322" s="108"/>
      <c r="AN322" s="109"/>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08"/>
      <c r="CM322" s="108"/>
      <c r="CN322" s="110"/>
      <c r="CO322" s="111"/>
      <c r="CP322" s="110"/>
      <c r="CQ322" s="111"/>
      <c r="CR322" s="110"/>
      <c r="CS322" s="111"/>
      <c r="CT322" s="112">
        <f t="shared" si="82"/>
        <v>0</v>
      </c>
      <c r="CU322" s="113"/>
      <c r="CV322" s="114"/>
      <c r="CW322" s="115"/>
      <c r="CX322" s="116"/>
      <c r="CY322" s="117"/>
      <c r="CZ322" s="116"/>
      <c r="DA322" s="113"/>
      <c r="DB322" s="114"/>
      <c r="DC322" s="64"/>
      <c r="DD322" s="118"/>
    </row>
    <row r="323" spans="1:108" ht="24" outlineLevel="2">
      <c r="A323" s="178">
        <v>40443</v>
      </c>
      <c r="B323" s="164" t="s">
        <v>960</v>
      </c>
      <c r="C323" s="164" t="s">
        <v>1482</v>
      </c>
      <c r="D323" s="166" t="s">
        <v>1262</v>
      </c>
      <c r="E323" s="163"/>
      <c r="F323" s="105"/>
      <c r="G323" s="105"/>
      <c r="H323" s="105">
        <v>5</v>
      </c>
      <c r="I323" s="105">
        <v>1</v>
      </c>
      <c r="J323" s="105">
        <v>1</v>
      </c>
      <c r="K323" s="105"/>
      <c r="L323" s="105"/>
      <c r="M323" s="105"/>
      <c r="N323" s="105"/>
      <c r="O323" s="105"/>
      <c r="P323" s="105"/>
      <c r="Q323" s="105"/>
      <c r="R323" s="105"/>
      <c r="S323" s="105"/>
      <c r="T323" s="106"/>
      <c r="U323" s="130"/>
      <c r="V323" s="1"/>
      <c r="W323" s="68">
        <f t="shared" si="77"/>
        <v>0</v>
      </c>
      <c r="X323" s="68">
        <f t="shared" si="78"/>
        <v>0</v>
      </c>
      <c r="Y323" s="68">
        <f t="shared" si="79"/>
        <v>0</v>
      </c>
      <c r="Z323" s="68">
        <f t="shared" si="80"/>
        <v>0</v>
      </c>
      <c r="AA323" s="68"/>
      <c r="AB323" s="68">
        <v>0</v>
      </c>
      <c r="AC323" s="69">
        <f t="shared" si="81"/>
        <v>0</v>
      </c>
      <c r="AD323" s="70">
        <v>0</v>
      </c>
      <c r="AE323" s="63">
        <v>40444</v>
      </c>
      <c r="AF323" s="72"/>
      <c r="AG323" s="63" t="s">
        <v>938</v>
      </c>
      <c r="AH323" s="23" t="s">
        <v>939</v>
      </c>
      <c r="AI323" s="60"/>
      <c r="AJ323" s="124" t="s">
        <v>1608</v>
      </c>
      <c r="AK323" s="121" t="s">
        <v>1327</v>
      </c>
      <c r="AL323" s="107"/>
      <c r="AM323" s="108"/>
      <c r="AN323" s="109"/>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08"/>
      <c r="CM323" s="108"/>
      <c r="CN323" s="110"/>
      <c r="CO323" s="111"/>
      <c r="CP323" s="110"/>
      <c r="CQ323" s="111"/>
      <c r="CR323" s="110"/>
      <c r="CS323" s="111"/>
      <c r="CT323" s="112">
        <f t="shared" si="82"/>
        <v>0</v>
      </c>
      <c r="CU323" s="113"/>
      <c r="CV323" s="114"/>
      <c r="CW323" s="115"/>
      <c r="CX323" s="116"/>
      <c r="CY323" s="117"/>
      <c r="CZ323" s="116"/>
      <c r="DA323" s="113"/>
      <c r="DB323" s="114"/>
      <c r="DC323" s="64"/>
      <c r="DD323" s="118"/>
    </row>
    <row r="324" spans="1:108" ht="24" outlineLevel="2">
      <c r="A324" s="178">
        <v>40454</v>
      </c>
      <c r="B324" s="164" t="s">
        <v>960</v>
      </c>
      <c r="C324" s="164" t="s">
        <v>912</v>
      </c>
      <c r="D324" s="166" t="s">
        <v>1262</v>
      </c>
      <c r="E324" s="163"/>
      <c r="F324" s="105"/>
      <c r="G324" s="105"/>
      <c r="H324" s="105">
        <v>500</v>
      </c>
      <c r="I324" s="105">
        <v>100</v>
      </c>
      <c r="J324" s="105"/>
      <c r="K324" s="105">
        <v>100</v>
      </c>
      <c r="L324" s="105"/>
      <c r="M324" s="105"/>
      <c r="N324" s="105"/>
      <c r="O324" s="105"/>
      <c r="P324" s="105"/>
      <c r="Q324" s="105"/>
      <c r="R324" s="105"/>
      <c r="S324" s="105"/>
      <c r="T324" s="106"/>
      <c r="U324" s="130"/>
      <c r="V324" s="1"/>
      <c r="W324" s="68">
        <f t="shared" si="77"/>
        <v>0</v>
      </c>
      <c r="X324" s="68">
        <f t="shared" si="78"/>
        <v>0</v>
      </c>
      <c r="Y324" s="68">
        <f t="shared" si="79"/>
        <v>0</v>
      </c>
      <c r="Z324" s="68">
        <f t="shared" si="80"/>
        <v>0</v>
      </c>
      <c r="AA324" s="68"/>
      <c r="AB324" s="68">
        <v>0</v>
      </c>
      <c r="AC324" s="69">
        <f t="shared" si="81"/>
        <v>0</v>
      </c>
      <c r="AD324" s="70">
        <v>0</v>
      </c>
      <c r="AE324" s="63"/>
      <c r="AF324" s="72"/>
      <c r="AG324" s="63"/>
      <c r="AH324" s="23"/>
      <c r="AI324" s="60"/>
      <c r="AJ324" s="124"/>
      <c r="AK324" s="121" t="s">
        <v>105</v>
      </c>
      <c r="AL324" s="107"/>
      <c r="AM324" s="108"/>
      <c r="AN324" s="109"/>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08"/>
      <c r="CM324" s="108"/>
      <c r="CN324" s="110"/>
      <c r="CO324" s="111"/>
      <c r="CP324" s="110"/>
      <c r="CQ324" s="111"/>
      <c r="CR324" s="110"/>
      <c r="CS324" s="111"/>
      <c r="CT324" s="112">
        <f t="shared" si="82"/>
        <v>0</v>
      </c>
      <c r="CU324" s="113"/>
      <c r="CV324" s="114"/>
      <c r="CW324" s="115"/>
      <c r="CX324" s="116"/>
      <c r="CY324" s="117"/>
      <c r="CZ324" s="116"/>
      <c r="DA324" s="113"/>
      <c r="DB324" s="114"/>
      <c r="DC324" s="64"/>
      <c r="DD324" s="118"/>
    </row>
    <row r="325" spans="1:108" ht="24" outlineLevel="2">
      <c r="A325" s="178">
        <v>40457</v>
      </c>
      <c r="B325" s="164" t="s">
        <v>960</v>
      </c>
      <c r="C325" s="164" t="s">
        <v>1589</v>
      </c>
      <c r="D325" s="165" t="s">
        <v>1182</v>
      </c>
      <c r="E325" s="163"/>
      <c r="F325" s="105"/>
      <c r="G325" s="105"/>
      <c r="H325" s="105">
        <v>5</v>
      </c>
      <c r="I325" s="105">
        <v>1</v>
      </c>
      <c r="J325" s="105">
        <v>1</v>
      </c>
      <c r="K325" s="105"/>
      <c r="L325" s="105"/>
      <c r="M325" s="105"/>
      <c r="N325" s="105"/>
      <c r="O325" s="105"/>
      <c r="P325" s="105"/>
      <c r="Q325" s="105"/>
      <c r="R325" s="105"/>
      <c r="S325" s="105"/>
      <c r="T325" s="106"/>
      <c r="U325" s="130"/>
      <c r="V325" s="1"/>
      <c r="W325" s="68">
        <f t="shared" si="77"/>
        <v>0</v>
      </c>
      <c r="X325" s="68">
        <f t="shared" si="78"/>
        <v>0</v>
      </c>
      <c r="Y325" s="68">
        <f t="shared" si="79"/>
        <v>0</v>
      </c>
      <c r="Z325" s="68">
        <f t="shared" si="80"/>
        <v>0</v>
      </c>
      <c r="AA325" s="68"/>
      <c r="AB325" s="68">
        <v>0</v>
      </c>
      <c r="AC325" s="69">
        <f t="shared" si="81"/>
        <v>0</v>
      </c>
      <c r="AD325" s="70">
        <v>0</v>
      </c>
      <c r="AE325" s="63">
        <v>40459</v>
      </c>
      <c r="AF325" s="72"/>
      <c r="AG325" s="63" t="s">
        <v>938</v>
      </c>
      <c r="AH325" s="23" t="s">
        <v>939</v>
      </c>
      <c r="AI325" s="60"/>
      <c r="AJ325" s="124" t="s">
        <v>1608</v>
      </c>
      <c r="AK325" s="121" t="s">
        <v>216</v>
      </c>
      <c r="AL325" s="107"/>
      <c r="AM325" s="108"/>
      <c r="AN325" s="109"/>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08"/>
      <c r="CM325" s="108"/>
      <c r="CN325" s="110"/>
      <c r="CO325" s="111"/>
      <c r="CP325" s="110"/>
      <c r="CQ325" s="111"/>
      <c r="CR325" s="110"/>
      <c r="CS325" s="111"/>
      <c r="CT325" s="112">
        <f t="shared" si="82"/>
        <v>0</v>
      </c>
      <c r="CU325" s="113"/>
      <c r="CV325" s="114"/>
      <c r="CW325" s="115"/>
      <c r="CX325" s="116"/>
      <c r="CY325" s="117"/>
      <c r="CZ325" s="116"/>
      <c r="DA325" s="113"/>
      <c r="DB325" s="114"/>
      <c r="DC325" s="64"/>
      <c r="DD325" s="118"/>
    </row>
    <row r="326" spans="1:108" ht="72" outlineLevel="2">
      <c r="A326" s="178">
        <v>40457</v>
      </c>
      <c r="B326" s="164" t="s">
        <v>960</v>
      </c>
      <c r="C326" s="164" t="s">
        <v>922</v>
      </c>
      <c r="D326" s="166" t="s">
        <v>1262</v>
      </c>
      <c r="E326" s="163"/>
      <c r="F326" s="105"/>
      <c r="G326" s="105"/>
      <c r="H326" s="105">
        <f>211*5</f>
        <v>1055</v>
      </c>
      <c r="I326" s="105">
        <v>211</v>
      </c>
      <c r="J326" s="105"/>
      <c r="K326" s="105">
        <v>211</v>
      </c>
      <c r="L326" s="105"/>
      <c r="M326" s="105"/>
      <c r="N326" s="105"/>
      <c r="O326" s="105"/>
      <c r="P326" s="105"/>
      <c r="Q326" s="105"/>
      <c r="R326" s="105"/>
      <c r="S326" s="105"/>
      <c r="T326" s="106"/>
      <c r="U326" s="130"/>
      <c r="V326" s="1"/>
      <c r="W326" s="68">
        <f t="shared" si="77"/>
        <v>0</v>
      </c>
      <c r="X326" s="68">
        <f t="shared" si="78"/>
        <v>0</v>
      </c>
      <c r="Y326" s="68">
        <f t="shared" si="79"/>
        <v>0</v>
      </c>
      <c r="Z326" s="68">
        <f t="shared" si="80"/>
        <v>0</v>
      </c>
      <c r="AA326" s="68"/>
      <c r="AB326" s="68">
        <v>0</v>
      </c>
      <c r="AC326" s="69">
        <f t="shared" si="81"/>
        <v>0</v>
      </c>
      <c r="AD326" s="70">
        <v>0</v>
      </c>
      <c r="AE326" s="63">
        <v>40459</v>
      </c>
      <c r="AF326" s="72"/>
      <c r="AG326" s="63" t="s">
        <v>938</v>
      </c>
      <c r="AH326" s="23" t="s">
        <v>939</v>
      </c>
      <c r="AI326" s="60"/>
      <c r="AJ326" s="124" t="s">
        <v>1608</v>
      </c>
      <c r="AK326" s="121" t="s">
        <v>1802</v>
      </c>
      <c r="AL326" s="107"/>
      <c r="AM326" s="108"/>
      <c r="AN326" s="109"/>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08"/>
      <c r="CM326" s="108"/>
      <c r="CN326" s="110"/>
      <c r="CO326" s="111"/>
      <c r="CP326" s="110"/>
      <c r="CQ326" s="111"/>
      <c r="CR326" s="110"/>
      <c r="CS326" s="111"/>
      <c r="CT326" s="112">
        <f t="shared" si="82"/>
        <v>0</v>
      </c>
      <c r="CU326" s="113"/>
      <c r="CV326" s="114"/>
      <c r="CW326" s="115"/>
      <c r="CX326" s="116"/>
      <c r="CY326" s="117"/>
      <c r="CZ326" s="116"/>
      <c r="DA326" s="113"/>
      <c r="DB326" s="114"/>
      <c r="DC326" s="64"/>
      <c r="DD326" s="118"/>
    </row>
    <row r="327" spans="1:108" ht="36" outlineLevel="2">
      <c r="A327" s="178">
        <v>40462</v>
      </c>
      <c r="B327" s="164" t="s">
        <v>960</v>
      </c>
      <c r="C327" s="164" t="s">
        <v>1317</v>
      </c>
      <c r="D327" s="166" t="s">
        <v>1262</v>
      </c>
      <c r="E327" s="163"/>
      <c r="F327" s="105"/>
      <c r="G327" s="105"/>
      <c r="H327" s="105">
        <v>500</v>
      </c>
      <c r="I327" s="105">
        <v>100</v>
      </c>
      <c r="J327" s="105"/>
      <c r="K327" s="105">
        <v>100</v>
      </c>
      <c r="L327" s="105"/>
      <c r="M327" s="105"/>
      <c r="N327" s="105"/>
      <c r="O327" s="105"/>
      <c r="P327" s="105"/>
      <c r="Q327" s="105"/>
      <c r="R327" s="105"/>
      <c r="S327" s="105"/>
      <c r="T327" s="106"/>
      <c r="U327" s="130"/>
      <c r="V327" s="1"/>
      <c r="W327" s="68">
        <f t="shared" si="77"/>
        <v>0</v>
      </c>
      <c r="X327" s="68">
        <f t="shared" si="78"/>
        <v>0</v>
      </c>
      <c r="Y327" s="68">
        <f t="shared" si="79"/>
        <v>0</v>
      </c>
      <c r="Z327" s="68">
        <f t="shared" si="80"/>
        <v>0</v>
      </c>
      <c r="AA327" s="68"/>
      <c r="AB327" s="68">
        <v>0</v>
      </c>
      <c r="AC327" s="69">
        <f t="shared" si="81"/>
        <v>0</v>
      </c>
      <c r="AD327" s="70">
        <v>0</v>
      </c>
      <c r="AE327" s="63">
        <v>40465</v>
      </c>
      <c r="AF327" s="72"/>
      <c r="AG327" s="63" t="s">
        <v>938</v>
      </c>
      <c r="AH327" s="23" t="s">
        <v>939</v>
      </c>
      <c r="AI327" s="60"/>
      <c r="AJ327" s="124" t="s">
        <v>1608</v>
      </c>
      <c r="AK327" s="121" t="s">
        <v>822</v>
      </c>
      <c r="AL327" s="107"/>
      <c r="AM327" s="108"/>
      <c r="AN327" s="109"/>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08"/>
      <c r="CM327" s="108"/>
      <c r="CN327" s="110"/>
      <c r="CO327" s="111"/>
      <c r="CP327" s="110"/>
      <c r="CQ327" s="111"/>
      <c r="CR327" s="110"/>
      <c r="CS327" s="111"/>
      <c r="CT327" s="112">
        <f t="shared" si="82"/>
        <v>0</v>
      </c>
      <c r="CU327" s="113"/>
      <c r="CV327" s="114"/>
      <c r="CW327" s="115"/>
      <c r="CX327" s="116"/>
      <c r="CY327" s="117"/>
      <c r="CZ327" s="116"/>
      <c r="DA327" s="113"/>
      <c r="DB327" s="114"/>
      <c r="DC327" s="64"/>
      <c r="DD327" s="118"/>
    </row>
    <row r="328" spans="1:108" ht="24" outlineLevel="2">
      <c r="A328" s="178">
        <v>40464</v>
      </c>
      <c r="B328" s="164" t="s">
        <v>960</v>
      </c>
      <c r="C328" s="164" t="s">
        <v>1589</v>
      </c>
      <c r="D328" s="166" t="s">
        <v>1262</v>
      </c>
      <c r="E328" s="163"/>
      <c r="F328" s="105"/>
      <c r="G328" s="105"/>
      <c r="H328" s="105"/>
      <c r="I328" s="105"/>
      <c r="J328" s="105"/>
      <c r="K328" s="105"/>
      <c r="L328" s="105"/>
      <c r="M328" s="105"/>
      <c r="N328" s="105"/>
      <c r="O328" s="105"/>
      <c r="P328" s="105"/>
      <c r="Q328" s="105"/>
      <c r="R328" s="105"/>
      <c r="S328" s="105"/>
      <c r="T328" s="106"/>
      <c r="U328" s="130"/>
      <c r="V328" s="1">
        <v>40508</v>
      </c>
      <c r="W328" s="68">
        <f t="shared" si="77"/>
        <v>4391400</v>
      </c>
      <c r="X328" s="68">
        <f t="shared" si="78"/>
        <v>10200000</v>
      </c>
      <c r="Y328" s="68">
        <f t="shared" si="79"/>
        <v>0</v>
      </c>
      <c r="Z328" s="68">
        <f t="shared" si="80"/>
        <v>0</v>
      </c>
      <c r="AA328" s="68"/>
      <c r="AB328" s="68">
        <v>0</v>
      </c>
      <c r="AC328" s="69">
        <f t="shared" si="81"/>
        <v>14591400</v>
      </c>
      <c r="AD328" s="70">
        <v>0</v>
      </c>
      <c r="AE328" s="63">
        <v>40464</v>
      </c>
      <c r="AF328" s="72">
        <v>57491</v>
      </c>
      <c r="AG328" s="63" t="s">
        <v>954</v>
      </c>
      <c r="AH328" s="23" t="s">
        <v>955</v>
      </c>
      <c r="AI328" s="60">
        <v>24950</v>
      </c>
      <c r="AJ328" s="124"/>
      <c r="AK328" s="121" t="s">
        <v>1811</v>
      </c>
      <c r="AL328" s="107"/>
      <c r="AM328" s="108"/>
      <c r="AN328" s="109"/>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08"/>
      <c r="CM328" s="108"/>
      <c r="CN328" s="110">
        <v>120</v>
      </c>
      <c r="CO328" s="111">
        <f>120*36595</f>
        <v>4391400</v>
      </c>
      <c r="CP328" s="110"/>
      <c r="CQ328" s="111"/>
      <c r="CR328" s="110"/>
      <c r="CS328" s="111"/>
      <c r="CT328" s="112">
        <f t="shared" si="82"/>
        <v>4391400</v>
      </c>
      <c r="CU328" s="113"/>
      <c r="CV328" s="114"/>
      <c r="CW328" s="115">
        <v>120</v>
      </c>
      <c r="CX328" s="116">
        <f>120*85000</f>
        <v>10200000</v>
      </c>
      <c r="CY328" s="117"/>
      <c r="CZ328" s="116"/>
      <c r="DA328" s="113"/>
      <c r="DB328" s="114"/>
      <c r="DC328" s="64"/>
      <c r="DD328" s="118"/>
    </row>
    <row r="329" spans="1:108" ht="45" outlineLevel="2">
      <c r="A329" s="178">
        <v>40468</v>
      </c>
      <c r="B329" s="164" t="s">
        <v>960</v>
      </c>
      <c r="C329" s="164" t="s">
        <v>920</v>
      </c>
      <c r="D329" s="166" t="s">
        <v>1262</v>
      </c>
      <c r="E329" s="163"/>
      <c r="F329" s="105"/>
      <c r="G329" s="105"/>
      <c r="H329" s="105">
        <v>3365</v>
      </c>
      <c r="I329" s="105">
        <v>673</v>
      </c>
      <c r="J329" s="105"/>
      <c r="K329" s="105">
        <v>673</v>
      </c>
      <c r="L329" s="105"/>
      <c r="M329" s="105"/>
      <c r="N329" s="105"/>
      <c r="O329" s="105"/>
      <c r="P329" s="105"/>
      <c r="Q329" s="105"/>
      <c r="R329" s="105"/>
      <c r="S329" s="105"/>
      <c r="T329" s="106"/>
      <c r="U329" s="130"/>
      <c r="V329" s="1">
        <v>40508</v>
      </c>
      <c r="W329" s="68">
        <f t="shared" si="77"/>
        <v>12114000</v>
      </c>
      <c r="X329" s="68">
        <f t="shared" si="78"/>
        <v>57205000</v>
      </c>
      <c r="Y329" s="68">
        <f t="shared" si="79"/>
        <v>0</v>
      </c>
      <c r="Z329" s="68">
        <f t="shared" si="80"/>
        <v>0</v>
      </c>
      <c r="AA329" s="68"/>
      <c r="AB329" s="68">
        <v>0</v>
      </c>
      <c r="AC329" s="69">
        <f t="shared" si="81"/>
        <v>69319000</v>
      </c>
      <c r="AD329" s="70">
        <v>0</v>
      </c>
      <c r="AE329" s="63">
        <v>40476</v>
      </c>
      <c r="AF329" s="72">
        <v>57681</v>
      </c>
      <c r="AG329" s="63" t="s">
        <v>954</v>
      </c>
      <c r="AH329" s="23" t="s">
        <v>955</v>
      </c>
      <c r="AI329" s="60">
        <v>24643</v>
      </c>
      <c r="AJ329" s="133" t="s">
        <v>415</v>
      </c>
      <c r="AK329" s="121" t="s">
        <v>1783</v>
      </c>
      <c r="AL329" s="107"/>
      <c r="AM329" s="108"/>
      <c r="AN329" s="109"/>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08">
        <v>673</v>
      </c>
      <c r="CM329" s="108">
        <f>673*18000</f>
        <v>12114000</v>
      </c>
      <c r="CN329" s="110"/>
      <c r="CO329" s="111"/>
      <c r="CP329" s="110"/>
      <c r="CQ329" s="111"/>
      <c r="CR329" s="110"/>
      <c r="CS329" s="111"/>
      <c r="CT329" s="112">
        <f t="shared" si="82"/>
        <v>12114000</v>
      </c>
      <c r="CU329" s="113"/>
      <c r="CV329" s="114"/>
      <c r="CW329" s="115">
        <v>673</v>
      </c>
      <c r="CX329" s="116">
        <f>673*85000</f>
        <v>57205000</v>
      </c>
      <c r="CY329" s="117"/>
      <c r="CZ329" s="116"/>
      <c r="DA329" s="113"/>
      <c r="DB329" s="114"/>
      <c r="DC329" s="64"/>
      <c r="DD329" s="118"/>
    </row>
    <row r="330" spans="1:108" ht="45" outlineLevel="2">
      <c r="A330" s="178">
        <v>40468</v>
      </c>
      <c r="B330" s="164" t="s">
        <v>960</v>
      </c>
      <c r="C330" s="164" t="s">
        <v>1785</v>
      </c>
      <c r="D330" s="166" t="s">
        <v>1262</v>
      </c>
      <c r="E330" s="163"/>
      <c r="F330" s="105"/>
      <c r="G330" s="105"/>
      <c r="H330" s="105">
        <f>2028*5</f>
        <v>10140</v>
      </c>
      <c r="I330" s="105">
        <v>2028</v>
      </c>
      <c r="J330" s="105"/>
      <c r="K330" s="105">
        <v>2028</v>
      </c>
      <c r="L330" s="105"/>
      <c r="M330" s="105"/>
      <c r="N330" s="105"/>
      <c r="O330" s="105"/>
      <c r="P330" s="105"/>
      <c r="Q330" s="105"/>
      <c r="R330" s="105"/>
      <c r="S330" s="105"/>
      <c r="T330" s="106"/>
      <c r="U330" s="130"/>
      <c r="V330" s="1">
        <v>40505</v>
      </c>
      <c r="W330" s="68">
        <f t="shared" si="77"/>
        <v>30888000</v>
      </c>
      <c r="X330" s="68">
        <f t="shared" si="78"/>
        <v>145860000</v>
      </c>
      <c r="Y330" s="68">
        <f t="shared" si="79"/>
        <v>0</v>
      </c>
      <c r="Z330" s="68">
        <f t="shared" si="80"/>
        <v>0</v>
      </c>
      <c r="AA330" s="68"/>
      <c r="AB330" s="68">
        <v>0</v>
      </c>
      <c r="AC330" s="69">
        <f t="shared" si="81"/>
        <v>176748000</v>
      </c>
      <c r="AD330" s="70">
        <v>0</v>
      </c>
      <c r="AE330" s="63">
        <v>40476</v>
      </c>
      <c r="AF330" s="72">
        <v>57681</v>
      </c>
      <c r="AG330" s="63" t="s">
        <v>954</v>
      </c>
      <c r="AH330" s="23" t="s">
        <v>955</v>
      </c>
      <c r="AI330" s="60">
        <v>24407</v>
      </c>
      <c r="AJ330" s="133" t="s">
        <v>415</v>
      </c>
      <c r="AK330" s="121" t="s">
        <v>1783</v>
      </c>
      <c r="AL330" s="107"/>
      <c r="AM330" s="108"/>
      <c r="AN330" s="109"/>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08">
        <v>1716</v>
      </c>
      <c r="CM330" s="108">
        <f>1716*18000</f>
        <v>30888000</v>
      </c>
      <c r="CN330" s="110"/>
      <c r="CO330" s="111"/>
      <c r="CP330" s="110"/>
      <c r="CQ330" s="111"/>
      <c r="CR330" s="110"/>
      <c r="CS330" s="111"/>
      <c r="CT330" s="112">
        <f t="shared" si="82"/>
        <v>30888000</v>
      </c>
      <c r="CU330" s="113"/>
      <c r="CV330" s="114"/>
      <c r="CW330" s="115">
        <v>1716</v>
      </c>
      <c r="CX330" s="116">
        <f>1716*85000</f>
        <v>145860000</v>
      </c>
      <c r="CY330" s="117"/>
      <c r="CZ330" s="116"/>
      <c r="DA330" s="113"/>
      <c r="DB330" s="114"/>
      <c r="DC330" s="64"/>
      <c r="DD330" s="118"/>
    </row>
    <row r="331" spans="1:108" outlineLevel="2">
      <c r="A331" s="178">
        <v>40468</v>
      </c>
      <c r="B331" s="164" t="s">
        <v>960</v>
      </c>
      <c r="C331" s="164" t="s">
        <v>915</v>
      </c>
      <c r="D331" s="166" t="s">
        <v>1262</v>
      </c>
      <c r="E331" s="163"/>
      <c r="F331" s="105"/>
      <c r="G331" s="105"/>
      <c r="H331" s="105">
        <f>282*5</f>
        <v>1410</v>
      </c>
      <c r="I331" s="105">
        <v>282</v>
      </c>
      <c r="J331" s="105"/>
      <c r="K331" s="105">
        <v>282</v>
      </c>
      <c r="L331" s="105"/>
      <c r="M331" s="105"/>
      <c r="N331" s="105"/>
      <c r="O331" s="105"/>
      <c r="P331" s="105"/>
      <c r="Q331" s="105"/>
      <c r="R331" s="105"/>
      <c r="S331" s="105"/>
      <c r="T331" s="106"/>
      <c r="U331" s="130"/>
      <c r="V331" s="1"/>
      <c r="W331" s="68">
        <f t="shared" si="77"/>
        <v>0</v>
      </c>
      <c r="X331" s="68">
        <f t="shared" si="78"/>
        <v>0</v>
      </c>
      <c r="Y331" s="68">
        <f t="shared" si="79"/>
        <v>0</v>
      </c>
      <c r="Z331" s="68">
        <f t="shared" si="80"/>
        <v>0</v>
      </c>
      <c r="AA331" s="68"/>
      <c r="AB331" s="68">
        <v>0</v>
      </c>
      <c r="AC331" s="69">
        <f t="shared" si="81"/>
        <v>0</v>
      </c>
      <c r="AD331" s="70">
        <v>0</v>
      </c>
      <c r="AE331" s="63">
        <v>40476</v>
      </c>
      <c r="AF331" s="72"/>
      <c r="AG331" s="63" t="s">
        <v>938</v>
      </c>
      <c r="AH331" s="23" t="s">
        <v>939</v>
      </c>
      <c r="AI331" s="60"/>
      <c r="AJ331" s="124" t="s">
        <v>1608</v>
      </c>
      <c r="AK331" s="121" t="s">
        <v>1960</v>
      </c>
      <c r="AL331" s="107"/>
      <c r="AM331" s="108"/>
      <c r="AN331" s="109"/>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08"/>
      <c r="CM331" s="108"/>
      <c r="CN331" s="110"/>
      <c r="CO331" s="111"/>
      <c r="CP331" s="110"/>
      <c r="CQ331" s="111"/>
      <c r="CR331" s="110"/>
      <c r="CS331" s="111"/>
      <c r="CT331" s="112">
        <f t="shared" si="82"/>
        <v>0</v>
      </c>
      <c r="CU331" s="113"/>
      <c r="CV331" s="114"/>
      <c r="CW331" s="115"/>
      <c r="CX331" s="116"/>
      <c r="CY331" s="117"/>
      <c r="CZ331" s="116"/>
      <c r="DA331" s="113"/>
      <c r="DB331" s="114"/>
      <c r="DC331" s="64"/>
      <c r="DD331" s="118"/>
    </row>
    <row r="332" spans="1:108" ht="45" outlineLevel="2">
      <c r="A332" s="178">
        <v>40468</v>
      </c>
      <c r="B332" s="164" t="s">
        <v>960</v>
      </c>
      <c r="C332" s="164" t="s">
        <v>1799</v>
      </c>
      <c r="D332" s="166" t="s">
        <v>1262</v>
      </c>
      <c r="E332" s="163"/>
      <c r="F332" s="105"/>
      <c r="G332" s="105"/>
      <c r="H332" s="105">
        <f>578*5</f>
        <v>2890</v>
      </c>
      <c r="I332" s="105">
        <v>578</v>
      </c>
      <c r="J332" s="105"/>
      <c r="K332" s="105">
        <v>578</v>
      </c>
      <c r="L332" s="105"/>
      <c r="M332" s="105"/>
      <c r="N332" s="105"/>
      <c r="O332" s="105"/>
      <c r="P332" s="105"/>
      <c r="Q332" s="105"/>
      <c r="R332" s="105"/>
      <c r="S332" s="105"/>
      <c r="T332" s="106"/>
      <c r="U332" s="130"/>
      <c r="V332" s="1">
        <v>40505</v>
      </c>
      <c r="W332" s="68">
        <f t="shared" si="77"/>
        <v>2880000</v>
      </c>
      <c r="X332" s="68">
        <f t="shared" si="78"/>
        <v>13600000</v>
      </c>
      <c r="Y332" s="68">
        <f t="shared" si="79"/>
        <v>0</v>
      </c>
      <c r="Z332" s="68">
        <f t="shared" si="80"/>
        <v>0</v>
      </c>
      <c r="AA332" s="68"/>
      <c r="AB332" s="68">
        <v>0</v>
      </c>
      <c r="AC332" s="69">
        <f t="shared" si="81"/>
        <v>16480000</v>
      </c>
      <c r="AD332" s="70">
        <v>0</v>
      </c>
      <c r="AE332" s="63">
        <v>40476</v>
      </c>
      <c r="AF332" s="72">
        <v>57681</v>
      </c>
      <c r="AG332" s="63" t="s">
        <v>954</v>
      </c>
      <c r="AH332" s="23" t="s">
        <v>955</v>
      </c>
      <c r="AI332" s="60">
        <v>24407</v>
      </c>
      <c r="AJ332" s="133" t="s">
        <v>415</v>
      </c>
      <c r="AK332" s="121" t="s">
        <v>1960</v>
      </c>
      <c r="AL332" s="107"/>
      <c r="AM332" s="108"/>
      <c r="AN332" s="109"/>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08">
        <v>160</v>
      </c>
      <c r="CM332" s="108">
        <f>160*18000</f>
        <v>2880000</v>
      </c>
      <c r="CN332" s="110"/>
      <c r="CO332" s="111"/>
      <c r="CP332" s="110"/>
      <c r="CQ332" s="111"/>
      <c r="CR332" s="110"/>
      <c r="CS332" s="111"/>
      <c r="CT332" s="112">
        <f t="shared" si="82"/>
        <v>2880000</v>
      </c>
      <c r="CU332" s="113"/>
      <c r="CV332" s="114"/>
      <c r="CW332" s="115">
        <v>160</v>
      </c>
      <c r="CX332" s="116">
        <f>160*85000</f>
        <v>13600000</v>
      </c>
      <c r="CY332" s="117"/>
      <c r="CZ332" s="116"/>
      <c r="DA332" s="113"/>
      <c r="DB332" s="114"/>
      <c r="DC332" s="64"/>
      <c r="DD332" s="118">
        <v>1361</v>
      </c>
    </row>
    <row r="333" spans="1:108" ht="24" outlineLevel="2">
      <c r="A333" s="178">
        <v>40468</v>
      </c>
      <c r="B333" s="164" t="s">
        <v>960</v>
      </c>
      <c r="C333" s="164" t="s">
        <v>917</v>
      </c>
      <c r="D333" s="166" t="s">
        <v>1262</v>
      </c>
      <c r="E333" s="163"/>
      <c r="F333" s="105"/>
      <c r="G333" s="105"/>
      <c r="H333" s="105">
        <f>550*5</f>
        <v>2750</v>
      </c>
      <c r="I333" s="105">
        <v>550</v>
      </c>
      <c r="J333" s="105"/>
      <c r="K333" s="105">
        <v>550</v>
      </c>
      <c r="L333" s="105"/>
      <c r="M333" s="105"/>
      <c r="N333" s="105"/>
      <c r="O333" s="105"/>
      <c r="P333" s="105"/>
      <c r="Q333" s="105"/>
      <c r="R333" s="105"/>
      <c r="S333" s="105"/>
      <c r="T333" s="106"/>
      <c r="U333" s="130"/>
      <c r="V333" s="1"/>
      <c r="W333" s="68">
        <f t="shared" si="77"/>
        <v>0</v>
      </c>
      <c r="X333" s="68">
        <f t="shared" si="78"/>
        <v>0</v>
      </c>
      <c r="Y333" s="68">
        <f t="shared" si="79"/>
        <v>0</v>
      </c>
      <c r="Z333" s="68">
        <f t="shared" si="80"/>
        <v>0</v>
      </c>
      <c r="AA333" s="68"/>
      <c r="AB333" s="68">
        <v>0</v>
      </c>
      <c r="AC333" s="69">
        <f t="shared" si="81"/>
        <v>0</v>
      </c>
      <c r="AD333" s="70">
        <v>0</v>
      </c>
      <c r="AE333" s="63">
        <v>40476</v>
      </c>
      <c r="AF333" s="72"/>
      <c r="AG333" s="63" t="s">
        <v>938</v>
      </c>
      <c r="AH333" s="23" t="s">
        <v>939</v>
      </c>
      <c r="AI333" s="60"/>
      <c r="AJ333" s="124" t="s">
        <v>1608</v>
      </c>
      <c r="AK333" s="121" t="s">
        <v>1782</v>
      </c>
      <c r="AL333" s="107"/>
      <c r="AM333" s="108"/>
      <c r="AN333" s="109"/>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08"/>
      <c r="CM333" s="108"/>
      <c r="CN333" s="110"/>
      <c r="CO333" s="111"/>
      <c r="CP333" s="110"/>
      <c r="CQ333" s="111"/>
      <c r="CR333" s="110"/>
      <c r="CS333" s="111"/>
      <c r="CT333" s="112">
        <f t="shared" si="82"/>
        <v>0</v>
      </c>
      <c r="CU333" s="113"/>
      <c r="CV333" s="114"/>
      <c r="CW333" s="115"/>
      <c r="CX333" s="116"/>
      <c r="CY333" s="117"/>
      <c r="CZ333" s="116"/>
      <c r="DA333" s="113"/>
      <c r="DB333" s="114"/>
      <c r="DC333" s="64"/>
      <c r="DD333" s="118"/>
    </row>
    <row r="334" spans="1:108" ht="45" outlineLevel="2">
      <c r="A334" s="178">
        <v>40468</v>
      </c>
      <c r="B334" s="164" t="s">
        <v>960</v>
      </c>
      <c r="C334" s="164" t="s">
        <v>1482</v>
      </c>
      <c r="D334" s="166" t="s">
        <v>1262</v>
      </c>
      <c r="E334" s="163"/>
      <c r="F334" s="105"/>
      <c r="G334" s="105"/>
      <c r="H334" s="105">
        <v>6580</v>
      </c>
      <c r="I334" s="105">
        <v>1316</v>
      </c>
      <c r="J334" s="105"/>
      <c r="K334" s="105">
        <v>1316</v>
      </c>
      <c r="L334" s="105"/>
      <c r="M334" s="105"/>
      <c r="N334" s="105"/>
      <c r="O334" s="105"/>
      <c r="P334" s="105"/>
      <c r="Q334" s="105"/>
      <c r="R334" s="105"/>
      <c r="S334" s="105"/>
      <c r="T334" s="106"/>
      <c r="U334" s="130"/>
      <c r="V334" s="1">
        <v>40508</v>
      </c>
      <c r="W334" s="68">
        <f t="shared" si="77"/>
        <v>23688000</v>
      </c>
      <c r="X334" s="68">
        <f t="shared" si="78"/>
        <v>111860000</v>
      </c>
      <c r="Y334" s="68">
        <f t="shared" si="79"/>
        <v>0</v>
      </c>
      <c r="Z334" s="68">
        <f t="shared" si="80"/>
        <v>0</v>
      </c>
      <c r="AA334" s="68"/>
      <c r="AB334" s="68">
        <v>0</v>
      </c>
      <c r="AC334" s="69">
        <f t="shared" si="81"/>
        <v>135548000</v>
      </c>
      <c r="AD334" s="70">
        <v>0</v>
      </c>
      <c r="AE334" s="63">
        <v>40476</v>
      </c>
      <c r="AF334" s="72">
        <v>57681</v>
      </c>
      <c r="AG334" s="63" t="s">
        <v>954</v>
      </c>
      <c r="AH334" s="23" t="s">
        <v>955</v>
      </c>
      <c r="AI334" s="60">
        <v>24643</v>
      </c>
      <c r="AJ334" s="133" t="s">
        <v>415</v>
      </c>
      <c r="AK334" s="121" t="s">
        <v>1783</v>
      </c>
      <c r="AL334" s="107"/>
      <c r="AM334" s="108"/>
      <c r="AN334" s="109"/>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08">
        <v>1316</v>
      </c>
      <c r="CM334" s="108">
        <f>1316*18000</f>
        <v>23688000</v>
      </c>
      <c r="CN334" s="110"/>
      <c r="CO334" s="111"/>
      <c r="CP334" s="110"/>
      <c r="CQ334" s="111"/>
      <c r="CR334" s="110"/>
      <c r="CS334" s="111"/>
      <c r="CT334" s="112">
        <f t="shared" si="82"/>
        <v>23688000</v>
      </c>
      <c r="CU334" s="113"/>
      <c r="CV334" s="114"/>
      <c r="CW334" s="115">
        <v>1316</v>
      </c>
      <c r="CX334" s="116">
        <f>1316*85000</f>
        <v>111860000</v>
      </c>
      <c r="CY334" s="117"/>
      <c r="CZ334" s="116"/>
      <c r="DA334" s="113"/>
      <c r="DB334" s="114"/>
      <c r="DC334" s="64"/>
      <c r="DD334" s="118"/>
    </row>
    <row r="335" spans="1:108" ht="36" outlineLevel="2">
      <c r="A335" s="178">
        <v>40475</v>
      </c>
      <c r="B335" s="164" t="s">
        <v>960</v>
      </c>
      <c r="C335" s="164" t="s">
        <v>1589</v>
      </c>
      <c r="D335" s="165" t="s">
        <v>1182</v>
      </c>
      <c r="E335" s="163"/>
      <c r="F335" s="105"/>
      <c r="G335" s="105"/>
      <c r="H335" s="105">
        <v>33</v>
      </c>
      <c r="I335" s="105">
        <v>6</v>
      </c>
      <c r="J335" s="105"/>
      <c r="K335" s="105">
        <v>6</v>
      </c>
      <c r="L335" s="105"/>
      <c r="M335" s="105"/>
      <c r="N335" s="105"/>
      <c r="O335" s="105"/>
      <c r="P335" s="105"/>
      <c r="Q335" s="105"/>
      <c r="R335" s="105"/>
      <c r="S335" s="105"/>
      <c r="T335" s="106"/>
      <c r="U335" s="130"/>
      <c r="V335" s="1"/>
      <c r="W335" s="68">
        <f t="shared" si="77"/>
        <v>0</v>
      </c>
      <c r="X335" s="68">
        <f t="shared" si="78"/>
        <v>0</v>
      </c>
      <c r="Y335" s="68">
        <f t="shared" si="79"/>
        <v>0</v>
      </c>
      <c r="Z335" s="68">
        <f t="shared" si="80"/>
        <v>0</v>
      </c>
      <c r="AA335" s="68"/>
      <c r="AB335" s="68">
        <v>0</v>
      </c>
      <c r="AC335" s="69">
        <f t="shared" si="81"/>
        <v>0</v>
      </c>
      <c r="AD335" s="70">
        <v>0</v>
      </c>
      <c r="AE335" s="63">
        <v>40477</v>
      </c>
      <c r="AF335" s="72"/>
      <c r="AG335" s="63" t="s">
        <v>938</v>
      </c>
      <c r="AH335" s="23" t="s">
        <v>939</v>
      </c>
      <c r="AI335" s="60"/>
      <c r="AJ335" s="124" t="s">
        <v>1608</v>
      </c>
      <c r="AK335" s="121" t="s">
        <v>1807</v>
      </c>
      <c r="AL335" s="107"/>
      <c r="AM335" s="108"/>
      <c r="AN335" s="109"/>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08"/>
      <c r="CM335" s="108"/>
      <c r="CN335" s="110"/>
      <c r="CO335" s="111"/>
      <c r="CP335" s="110"/>
      <c r="CQ335" s="111"/>
      <c r="CR335" s="110"/>
      <c r="CS335" s="111"/>
      <c r="CT335" s="112">
        <f t="shared" si="82"/>
        <v>0</v>
      </c>
      <c r="CU335" s="113"/>
      <c r="CV335" s="114"/>
      <c r="CW335" s="115"/>
      <c r="CX335" s="116"/>
      <c r="CY335" s="117"/>
      <c r="CZ335" s="116"/>
      <c r="DA335" s="113"/>
      <c r="DB335" s="114"/>
      <c r="DC335" s="64"/>
      <c r="DD335" s="118"/>
    </row>
    <row r="336" spans="1:108" ht="72" outlineLevel="2">
      <c r="A336" s="178">
        <v>40484</v>
      </c>
      <c r="B336" s="164" t="s">
        <v>960</v>
      </c>
      <c r="C336" s="164" t="s">
        <v>1589</v>
      </c>
      <c r="D336" s="166" t="s">
        <v>1262</v>
      </c>
      <c r="E336" s="163">
        <v>1</v>
      </c>
      <c r="F336" s="105"/>
      <c r="G336" s="105"/>
      <c r="H336" s="105">
        <v>12515</v>
      </c>
      <c r="I336" s="105">
        <v>2503</v>
      </c>
      <c r="J336" s="105"/>
      <c r="K336" s="105">
        <v>2503</v>
      </c>
      <c r="L336" s="105"/>
      <c r="M336" s="105"/>
      <c r="N336" s="105"/>
      <c r="O336" s="105"/>
      <c r="P336" s="105"/>
      <c r="Q336" s="105"/>
      <c r="R336" s="105"/>
      <c r="S336" s="105"/>
      <c r="T336" s="106"/>
      <c r="U336" s="130"/>
      <c r="V336" s="1">
        <v>40507</v>
      </c>
      <c r="W336" s="68">
        <f t="shared" si="77"/>
        <v>230652000</v>
      </c>
      <c r="X336" s="68">
        <f t="shared" si="78"/>
        <v>170000000</v>
      </c>
      <c r="Y336" s="68">
        <f t="shared" si="79"/>
        <v>0</v>
      </c>
      <c r="Z336" s="68">
        <f t="shared" si="80"/>
        <v>0</v>
      </c>
      <c r="AA336" s="68"/>
      <c r="AB336" s="68">
        <v>0</v>
      </c>
      <c r="AC336" s="69">
        <f t="shared" si="81"/>
        <v>400652000</v>
      </c>
      <c r="AD336" s="70">
        <v>0</v>
      </c>
      <c r="AE336" s="63">
        <v>40484</v>
      </c>
      <c r="AF336" s="72">
        <v>62474</v>
      </c>
      <c r="AG336" s="63" t="s">
        <v>954</v>
      </c>
      <c r="AH336" s="23" t="s">
        <v>955</v>
      </c>
      <c r="AI336" s="75" t="s">
        <v>2337</v>
      </c>
      <c r="AJ336" s="133" t="s">
        <v>415</v>
      </c>
      <c r="AK336" s="121" t="s">
        <v>413</v>
      </c>
      <c r="AL336" s="107"/>
      <c r="AM336" s="108"/>
      <c r="AN336" s="109"/>
      <c r="AO336" s="108"/>
      <c r="AP336" s="108"/>
      <c r="AQ336" s="108"/>
      <c r="AR336" s="108"/>
      <c r="AS336" s="108"/>
      <c r="AT336" s="108"/>
      <c r="AU336" s="108"/>
      <c r="AV336" s="108"/>
      <c r="AW336" s="108"/>
      <c r="AX336" s="108">
        <v>2000</v>
      </c>
      <c r="AY336" s="108">
        <f>2000*56000</f>
        <v>112000000</v>
      </c>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v>2000</v>
      </c>
      <c r="CI336" s="108">
        <f>2000*21000</f>
        <v>42000000</v>
      </c>
      <c r="CJ336" s="108"/>
      <c r="CK336" s="108"/>
      <c r="CL336" s="108"/>
      <c r="CM336" s="108"/>
      <c r="CN336" s="110">
        <v>1000</v>
      </c>
      <c r="CO336" s="111">
        <f>1000*36952</f>
        <v>36952000</v>
      </c>
      <c r="CP336" s="110">
        <v>1000</v>
      </c>
      <c r="CQ336" s="111">
        <f>1000*39700</f>
        <v>39700000</v>
      </c>
      <c r="CR336" s="110"/>
      <c r="CS336" s="111"/>
      <c r="CT336" s="112">
        <f t="shared" si="82"/>
        <v>230652000</v>
      </c>
      <c r="CU336" s="113"/>
      <c r="CV336" s="114"/>
      <c r="CW336" s="115">
        <v>2000</v>
      </c>
      <c r="CX336" s="116">
        <f>2000*85000</f>
        <v>170000000</v>
      </c>
      <c r="CY336" s="117"/>
      <c r="CZ336" s="116"/>
      <c r="DA336" s="113"/>
      <c r="DB336" s="114"/>
      <c r="DC336" s="64"/>
      <c r="DD336" s="118"/>
    </row>
    <row r="337" spans="1:108" ht="24" outlineLevel="2">
      <c r="A337" s="178">
        <v>40485</v>
      </c>
      <c r="B337" s="164" t="s">
        <v>960</v>
      </c>
      <c r="C337" s="164" t="s">
        <v>916</v>
      </c>
      <c r="D337" s="166" t="s">
        <v>1262</v>
      </c>
      <c r="E337" s="163"/>
      <c r="F337" s="105"/>
      <c r="G337" s="105"/>
      <c r="H337" s="105"/>
      <c r="I337" s="105"/>
      <c r="J337" s="105"/>
      <c r="K337" s="105"/>
      <c r="L337" s="105"/>
      <c r="M337" s="105"/>
      <c r="N337" s="105"/>
      <c r="O337" s="105"/>
      <c r="P337" s="105"/>
      <c r="Q337" s="105"/>
      <c r="R337" s="105"/>
      <c r="S337" s="105"/>
      <c r="T337" s="106"/>
      <c r="U337" s="130"/>
      <c r="V337" s="1"/>
      <c r="W337" s="68">
        <f t="shared" ref="W337:W354" si="83">CT337</f>
        <v>0</v>
      </c>
      <c r="X337" s="68">
        <f t="shared" ref="X337:X354" si="84">CX337</f>
        <v>0</v>
      </c>
      <c r="Y337" s="68">
        <f t="shared" ref="Y337:Y354" si="85">CZ337+DB337</f>
        <v>0</v>
      </c>
      <c r="Z337" s="68">
        <f t="shared" ref="Z337:Z354" si="86">CV337</f>
        <v>0</v>
      </c>
      <c r="AA337" s="68"/>
      <c r="AB337" s="68">
        <v>0</v>
      </c>
      <c r="AC337" s="69">
        <f t="shared" ref="AC337:AC354" si="87">W337+X337+Y337+Z337+AA337+AB337</f>
        <v>0</v>
      </c>
      <c r="AD337" s="70">
        <v>0</v>
      </c>
      <c r="AE337" s="63">
        <v>40484</v>
      </c>
      <c r="AF337" s="72"/>
      <c r="AG337" s="63" t="s">
        <v>938</v>
      </c>
      <c r="AH337" s="23" t="s">
        <v>939</v>
      </c>
      <c r="AI337" s="83"/>
      <c r="AJ337" s="124" t="s">
        <v>1608</v>
      </c>
      <c r="AK337" s="121" t="s">
        <v>369</v>
      </c>
      <c r="AL337" s="107"/>
      <c r="AM337" s="108"/>
      <c r="AN337" s="109"/>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08"/>
      <c r="CM337" s="108"/>
      <c r="CN337" s="110"/>
      <c r="CO337" s="111"/>
      <c r="CP337" s="110"/>
      <c r="CQ337" s="111"/>
      <c r="CR337" s="110"/>
      <c r="CS337" s="111"/>
      <c r="CT337" s="112">
        <f t="shared" ref="CT337:CT354" si="88">AM337+AO337+AQ337+AS337+AU337+AW337+AY337+BA337+BC337+BE337+BG337+BI337+BK337+BM337+BO337+BQ337+BS337+BU337+BW337+BY337+CA337+CC337+CE337+CG337+CI337+CK337+CM337+CO337+CQ337+CS337</f>
        <v>0</v>
      </c>
      <c r="CU337" s="113"/>
      <c r="CV337" s="114"/>
      <c r="CW337" s="115"/>
      <c r="CX337" s="116"/>
      <c r="CY337" s="117"/>
      <c r="CZ337" s="116"/>
      <c r="DA337" s="113"/>
      <c r="DB337" s="114"/>
      <c r="DC337" s="64"/>
      <c r="DD337" s="118"/>
    </row>
    <row r="338" spans="1:108" ht="24" outlineLevel="2">
      <c r="A338" s="178">
        <v>40489</v>
      </c>
      <c r="B338" s="164" t="s">
        <v>960</v>
      </c>
      <c r="C338" s="164" t="s">
        <v>913</v>
      </c>
      <c r="D338" s="166" t="s">
        <v>1262</v>
      </c>
      <c r="E338" s="163"/>
      <c r="F338" s="105"/>
      <c r="G338" s="105"/>
      <c r="H338" s="105">
        <v>2000</v>
      </c>
      <c r="I338" s="105">
        <v>400</v>
      </c>
      <c r="J338" s="105"/>
      <c r="K338" s="105">
        <v>400</v>
      </c>
      <c r="L338" s="105"/>
      <c r="M338" s="105"/>
      <c r="N338" s="105"/>
      <c r="O338" s="105"/>
      <c r="P338" s="105"/>
      <c r="Q338" s="105"/>
      <c r="R338" s="105"/>
      <c r="S338" s="105"/>
      <c r="T338" s="106"/>
      <c r="U338" s="130"/>
      <c r="V338" s="1"/>
      <c r="W338" s="68">
        <f t="shared" si="83"/>
        <v>0</v>
      </c>
      <c r="X338" s="68">
        <f t="shared" si="84"/>
        <v>0</v>
      </c>
      <c r="Y338" s="68">
        <f t="shared" si="85"/>
        <v>0</v>
      </c>
      <c r="Z338" s="68">
        <f t="shared" si="86"/>
        <v>0</v>
      </c>
      <c r="AA338" s="68"/>
      <c r="AB338" s="68">
        <v>0</v>
      </c>
      <c r="AC338" s="69">
        <f t="shared" si="87"/>
        <v>0</v>
      </c>
      <c r="AD338" s="70">
        <v>0</v>
      </c>
      <c r="AE338" s="63">
        <v>40491</v>
      </c>
      <c r="AF338" s="72"/>
      <c r="AG338" s="63" t="s">
        <v>938</v>
      </c>
      <c r="AH338" s="23" t="s">
        <v>939</v>
      </c>
      <c r="AI338" s="60"/>
      <c r="AJ338" s="124" t="s">
        <v>1608</v>
      </c>
      <c r="AK338" s="121" t="s">
        <v>478</v>
      </c>
      <c r="AL338" s="107"/>
      <c r="AM338" s="108"/>
      <c r="AN338" s="109"/>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08"/>
      <c r="CM338" s="108"/>
      <c r="CN338" s="110"/>
      <c r="CO338" s="111"/>
      <c r="CP338" s="110"/>
      <c r="CQ338" s="111"/>
      <c r="CR338" s="110"/>
      <c r="CS338" s="111"/>
      <c r="CT338" s="112">
        <f t="shared" si="88"/>
        <v>0</v>
      </c>
      <c r="CU338" s="113"/>
      <c r="CV338" s="114"/>
      <c r="CW338" s="115"/>
      <c r="CX338" s="116"/>
      <c r="CY338" s="117"/>
      <c r="CZ338" s="116"/>
      <c r="DA338" s="113"/>
      <c r="DB338" s="114"/>
      <c r="DC338" s="64"/>
      <c r="DD338" s="118"/>
    </row>
    <row r="339" spans="1:108" ht="33.75" outlineLevel="2">
      <c r="A339" s="178">
        <v>40490</v>
      </c>
      <c r="B339" s="164" t="s">
        <v>960</v>
      </c>
      <c r="C339" s="164" t="s">
        <v>639</v>
      </c>
      <c r="D339" s="166" t="s">
        <v>1262</v>
      </c>
      <c r="E339" s="163"/>
      <c r="F339" s="105"/>
      <c r="G339" s="105"/>
      <c r="H339" s="105">
        <v>15</v>
      </c>
      <c r="I339" s="105">
        <v>4</v>
      </c>
      <c r="J339" s="105"/>
      <c r="K339" s="105">
        <v>4</v>
      </c>
      <c r="L339" s="105"/>
      <c r="M339" s="105"/>
      <c r="N339" s="105"/>
      <c r="O339" s="105"/>
      <c r="P339" s="105"/>
      <c r="Q339" s="105"/>
      <c r="R339" s="105"/>
      <c r="S339" s="105"/>
      <c r="T339" s="106"/>
      <c r="U339" s="130"/>
      <c r="V339" s="1"/>
      <c r="W339" s="68">
        <f t="shared" si="83"/>
        <v>0</v>
      </c>
      <c r="X339" s="68">
        <f t="shared" si="84"/>
        <v>0</v>
      </c>
      <c r="Y339" s="68">
        <f t="shared" si="85"/>
        <v>0</v>
      </c>
      <c r="Z339" s="68">
        <f t="shared" si="86"/>
        <v>0</v>
      </c>
      <c r="AA339" s="68"/>
      <c r="AB339" s="68">
        <v>0</v>
      </c>
      <c r="AC339" s="69">
        <f t="shared" si="87"/>
        <v>0</v>
      </c>
      <c r="AD339" s="70">
        <v>0</v>
      </c>
      <c r="AE339" s="63">
        <v>40492</v>
      </c>
      <c r="AF339" s="72"/>
      <c r="AG339" s="63" t="s">
        <v>938</v>
      </c>
      <c r="AH339" s="23" t="s">
        <v>939</v>
      </c>
      <c r="AI339" s="60"/>
      <c r="AJ339" s="124" t="s">
        <v>1608</v>
      </c>
      <c r="AK339" s="121" t="s">
        <v>1565</v>
      </c>
      <c r="AL339" s="107"/>
      <c r="AM339" s="108"/>
      <c r="AN339" s="109"/>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08"/>
      <c r="CM339" s="108"/>
      <c r="CN339" s="110"/>
      <c r="CO339" s="111"/>
      <c r="CP339" s="110"/>
      <c r="CQ339" s="111"/>
      <c r="CR339" s="110"/>
      <c r="CS339" s="111"/>
      <c r="CT339" s="112">
        <f t="shared" si="88"/>
        <v>0</v>
      </c>
      <c r="CU339" s="113"/>
      <c r="CV339" s="114"/>
      <c r="CW339" s="115"/>
      <c r="CX339" s="116"/>
      <c r="CY339" s="117"/>
      <c r="CZ339" s="116"/>
      <c r="DA339" s="113"/>
      <c r="DB339" s="114"/>
      <c r="DC339" s="64"/>
      <c r="DD339" s="118"/>
    </row>
    <row r="340" spans="1:108" ht="24" outlineLevel="2">
      <c r="A340" s="178">
        <v>40491</v>
      </c>
      <c r="B340" s="164" t="s">
        <v>960</v>
      </c>
      <c r="C340" s="164" t="s">
        <v>923</v>
      </c>
      <c r="D340" s="166" t="s">
        <v>1262</v>
      </c>
      <c r="E340" s="163"/>
      <c r="F340" s="105"/>
      <c r="G340" s="105"/>
      <c r="H340" s="105">
        <f>300*5</f>
        <v>1500</v>
      </c>
      <c r="I340" s="105">
        <v>300</v>
      </c>
      <c r="J340" s="105"/>
      <c r="K340" s="105"/>
      <c r="L340" s="105"/>
      <c r="M340" s="105"/>
      <c r="N340" s="105"/>
      <c r="O340" s="105"/>
      <c r="P340" s="105"/>
      <c r="Q340" s="105"/>
      <c r="R340" s="105"/>
      <c r="S340" s="105"/>
      <c r="T340" s="106"/>
      <c r="U340" s="130"/>
      <c r="V340" s="1"/>
      <c r="W340" s="68">
        <f t="shared" si="83"/>
        <v>0</v>
      </c>
      <c r="X340" s="68">
        <f t="shared" si="84"/>
        <v>0</v>
      </c>
      <c r="Y340" s="68">
        <f t="shared" si="85"/>
        <v>0</v>
      </c>
      <c r="Z340" s="68">
        <f t="shared" si="86"/>
        <v>0</v>
      </c>
      <c r="AA340" s="68"/>
      <c r="AB340" s="68">
        <v>0</v>
      </c>
      <c r="AC340" s="69">
        <f t="shared" si="87"/>
        <v>0</v>
      </c>
      <c r="AD340" s="70">
        <v>25500000</v>
      </c>
      <c r="AE340" s="63">
        <v>40500</v>
      </c>
      <c r="AF340" s="72"/>
      <c r="AG340" s="63" t="s">
        <v>954</v>
      </c>
      <c r="AH340" s="23" t="s">
        <v>955</v>
      </c>
      <c r="AI340" s="60"/>
      <c r="AJ340" s="124" t="s">
        <v>1476</v>
      </c>
      <c r="AK340" s="121" t="s">
        <v>678</v>
      </c>
      <c r="AL340" s="107"/>
      <c r="AM340" s="108"/>
      <c r="AN340" s="109"/>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08"/>
      <c r="CM340" s="108"/>
      <c r="CN340" s="110"/>
      <c r="CO340" s="111"/>
      <c r="CP340" s="110"/>
      <c r="CQ340" s="111"/>
      <c r="CR340" s="110"/>
      <c r="CS340" s="111"/>
      <c r="CT340" s="112">
        <f t="shared" si="88"/>
        <v>0</v>
      </c>
      <c r="CU340" s="113"/>
      <c r="CV340" s="114"/>
      <c r="CW340" s="115"/>
      <c r="CX340" s="116"/>
      <c r="CY340" s="117"/>
      <c r="CZ340" s="116"/>
      <c r="DA340" s="113"/>
      <c r="DB340" s="114"/>
      <c r="DC340" s="64"/>
      <c r="DD340" s="118"/>
    </row>
    <row r="341" spans="1:108" ht="60" outlineLevel="2">
      <c r="A341" s="178">
        <v>40492</v>
      </c>
      <c r="B341" s="164" t="s">
        <v>960</v>
      </c>
      <c r="C341" s="164" t="s">
        <v>1428</v>
      </c>
      <c r="D341" s="166" t="s">
        <v>1262</v>
      </c>
      <c r="E341" s="163"/>
      <c r="F341" s="105"/>
      <c r="G341" s="105"/>
      <c r="H341" s="105">
        <f>2266*5</f>
        <v>11330</v>
      </c>
      <c r="I341" s="105">
        <v>2266</v>
      </c>
      <c r="J341" s="105"/>
      <c r="K341" s="105">
        <v>2266</v>
      </c>
      <c r="L341" s="105"/>
      <c r="M341" s="105"/>
      <c r="N341" s="105"/>
      <c r="O341" s="105"/>
      <c r="P341" s="105"/>
      <c r="Q341" s="105"/>
      <c r="R341" s="105"/>
      <c r="S341" s="105"/>
      <c r="T341" s="106"/>
      <c r="U341" s="130"/>
      <c r="V341" s="1"/>
      <c r="W341" s="68">
        <f t="shared" si="83"/>
        <v>0</v>
      </c>
      <c r="X341" s="68">
        <f t="shared" si="84"/>
        <v>0</v>
      </c>
      <c r="Y341" s="68">
        <f t="shared" si="85"/>
        <v>0</v>
      </c>
      <c r="Z341" s="68">
        <f t="shared" si="86"/>
        <v>0</v>
      </c>
      <c r="AA341" s="68"/>
      <c r="AB341" s="68">
        <v>0</v>
      </c>
      <c r="AC341" s="69">
        <f t="shared" si="87"/>
        <v>0</v>
      </c>
      <c r="AD341" s="70">
        <v>0</v>
      </c>
      <c r="AE341" s="63">
        <v>40494</v>
      </c>
      <c r="AF341" s="72"/>
      <c r="AG341" s="63" t="s">
        <v>938</v>
      </c>
      <c r="AH341" s="23" t="s">
        <v>939</v>
      </c>
      <c r="AI341" s="60"/>
      <c r="AJ341" s="124" t="s">
        <v>1608</v>
      </c>
      <c r="AK341" s="121" t="s">
        <v>2023</v>
      </c>
      <c r="AL341" s="107"/>
      <c r="AM341" s="108"/>
      <c r="AN341" s="109"/>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08"/>
      <c r="CM341" s="108"/>
      <c r="CN341" s="110"/>
      <c r="CO341" s="111"/>
      <c r="CP341" s="110"/>
      <c r="CQ341" s="111"/>
      <c r="CR341" s="110"/>
      <c r="CS341" s="111"/>
      <c r="CT341" s="112">
        <f t="shared" si="88"/>
        <v>0</v>
      </c>
      <c r="CU341" s="113"/>
      <c r="CV341" s="114"/>
      <c r="CW341" s="115"/>
      <c r="CX341" s="116"/>
      <c r="CY341" s="117"/>
      <c r="CZ341" s="116"/>
      <c r="DA341" s="113"/>
      <c r="DB341" s="114"/>
      <c r="DC341" s="64"/>
      <c r="DD341" s="118"/>
    </row>
    <row r="342" spans="1:108" ht="24" outlineLevel="2">
      <c r="A342" s="178">
        <v>40492</v>
      </c>
      <c r="B342" s="164" t="s">
        <v>960</v>
      </c>
      <c r="C342" s="164" t="s">
        <v>1049</v>
      </c>
      <c r="D342" s="166" t="s">
        <v>1262</v>
      </c>
      <c r="E342" s="163"/>
      <c r="F342" s="105"/>
      <c r="G342" s="105"/>
      <c r="H342" s="105">
        <f>2880*5</f>
        <v>14400</v>
      </c>
      <c r="I342" s="105">
        <v>2880</v>
      </c>
      <c r="J342" s="105"/>
      <c r="K342" s="105">
        <v>2880</v>
      </c>
      <c r="L342" s="105"/>
      <c r="M342" s="105"/>
      <c r="N342" s="105"/>
      <c r="O342" s="105"/>
      <c r="P342" s="105"/>
      <c r="Q342" s="105"/>
      <c r="R342" s="105"/>
      <c r="S342" s="105"/>
      <c r="T342" s="106"/>
      <c r="U342" s="130"/>
      <c r="V342" s="1"/>
      <c r="W342" s="68">
        <f t="shared" si="83"/>
        <v>0</v>
      </c>
      <c r="X342" s="68">
        <f t="shared" si="84"/>
        <v>0</v>
      </c>
      <c r="Y342" s="68">
        <f t="shared" si="85"/>
        <v>0</v>
      </c>
      <c r="Z342" s="68">
        <f t="shared" si="86"/>
        <v>0</v>
      </c>
      <c r="AA342" s="68"/>
      <c r="AB342" s="68">
        <v>0</v>
      </c>
      <c r="AC342" s="69">
        <f t="shared" si="87"/>
        <v>0</v>
      </c>
      <c r="AD342" s="70">
        <v>0</v>
      </c>
      <c r="AE342" s="63">
        <v>40494</v>
      </c>
      <c r="AF342" s="72"/>
      <c r="AG342" s="63" t="s">
        <v>938</v>
      </c>
      <c r="AH342" s="23" t="s">
        <v>939</v>
      </c>
      <c r="AI342" s="60"/>
      <c r="AJ342" s="124" t="s">
        <v>1608</v>
      </c>
      <c r="AK342" s="121" t="s">
        <v>603</v>
      </c>
      <c r="AL342" s="107"/>
      <c r="AM342" s="108"/>
      <c r="AN342" s="109"/>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08"/>
      <c r="CM342" s="108"/>
      <c r="CN342" s="110"/>
      <c r="CO342" s="111"/>
      <c r="CP342" s="110"/>
      <c r="CQ342" s="111"/>
      <c r="CR342" s="110"/>
      <c r="CS342" s="111"/>
      <c r="CT342" s="112">
        <f t="shared" si="88"/>
        <v>0</v>
      </c>
      <c r="CU342" s="113"/>
      <c r="CV342" s="114"/>
      <c r="CW342" s="115"/>
      <c r="CX342" s="116"/>
      <c r="CY342" s="117"/>
      <c r="CZ342" s="116"/>
      <c r="DA342" s="113"/>
      <c r="DB342" s="114"/>
      <c r="DC342" s="64"/>
      <c r="DD342" s="118"/>
    </row>
    <row r="343" spans="1:108" outlineLevel="2">
      <c r="A343" s="178">
        <v>40499</v>
      </c>
      <c r="B343" s="164" t="s">
        <v>960</v>
      </c>
      <c r="C343" s="164" t="s">
        <v>1589</v>
      </c>
      <c r="D343" s="165" t="s">
        <v>1182</v>
      </c>
      <c r="E343" s="163"/>
      <c r="F343" s="105"/>
      <c r="G343" s="105"/>
      <c r="H343" s="105">
        <v>260</v>
      </c>
      <c r="I343" s="105">
        <v>50</v>
      </c>
      <c r="J343" s="105">
        <v>15</v>
      </c>
      <c r="K343" s="105">
        <f>50-15</f>
        <v>35</v>
      </c>
      <c r="L343" s="105"/>
      <c r="M343" s="105"/>
      <c r="N343" s="105"/>
      <c r="O343" s="105"/>
      <c r="P343" s="105"/>
      <c r="Q343" s="105"/>
      <c r="R343" s="105"/>
      <c r="S343" s="105"/>
      <c r="T343" s="106"/>
      <c r="U343" s="130"/>
      <c r="V343" s="1"/>
      <c r="W343" s="68">
        <f t="shared" si="83"/>
        <v>0</v>
      </c>
      <c r="X343" s="68">
        <f t="shared" si="84"/>
        <v>0</v>
      </c>
      <c r="Y343" s="68">
        <f t="shared" si="85"/>
        <v>0</v>
      </c>
      <c r="Z343" s="68">
        <f t="shared" si="86"/>
        <v>0</v>
      </c>
      <c r="AA343" s="68"/>
      <c r="AB343" s="68">
        <v>0</v>
      </c>
      <c r="AC343" s="69">
        <f t="shared" si="87"/>
        <v>0</v>
      </c>
      <c r="AD343" s="70">
        <v>0</v>
      </c>
      <c r="AE343" s="63">
        <v>40504</v>
      </c>
      <c r="AF343" s="72"/>
      <c r="AG343" s="63" t="s">
        <v>938</v>
      </c>
      <c r="AH343" s="23" t="s">
        <v>939</v>
      </c>
      <c r="AI343" s="60"/>
      <c r="AJ343" s="124" t="s">
        <v>1608</v>
      </c>
      <c r="AK343" s="121" t="s">
        <v>91</v>
      </c>
      <c r="AL343" s="107"/>
      <c r="AM343" s="108"/>
      <c r="AN343" s="109"/>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08"/>
      <c r="CM343" s="108"/>
      <c r="CN343" s="110"/>
      <c r="CO343" s="111"/>
      <c r="CP343" s="110"/>
      <c r="CQ343" s="111"/>
      <c r="CR343" s="110"/>
      <c r="CS343" s="111"/>
      <c r="CT343" s="112">
        <f t="shared" si="88"/>
        <v>0</v>
      </c>
      <c r="CU343" s="113"/>
      <c r="CV343" s="114"/>
      <c r="CW343" s="115"/>
      <c r="CX343" s="116"/>
      <c r="CY343" s="117"/>
      <c r="CZ343" s="116"/>
      <c r="DA343" s="113"/>
      <c r="DB343" s="114"/>
      <c r="DC343" s="64"/>
      <c r="DD343" s="118"/>
    </row>
    <row r="344" spans="1:108" ht="22.5" outlineLevel="2">
      <c r="A344" s="178">
        <v>40506</v>
      </c>
      <c r="B344" s="164" t="s">
        <v>960</v>
      </c>
      <c r="C344" s="164" t="s">
        <v>953</v>
      </c>
      <c r="D344" s="166" t="s">
        <v>1262</v>
      </c>
      <c r="E344" s="163"/>
      <c r="F344" s="105"/>
      <c r="G344" s="105"/>
      <c r="H344" s="105"/>
      <c r="I344" s="105"/>
      <c r="J344" s="105"/>
      <c r="K344" s="105"/>
      <c r="L344" s="105"/>
      <c r="M344" s="105"/>
      <c r="N344" s="105"/>
      <c r="O344" s="105"/>
      <c r="P344" s="105"/>
      <c r="Q344" s="105"/>
      <c r="R344" s="105"/>
      <c r="S344" s="105"/>
      <c r="T344" s="106"/>
      <c r="U344" s="130"/>
      <c r="V344" s="1">
        <v>40526</v>
      </c>
      <c r="W344" s="68">
        <f t="shared" si="83"/>
        <v>0</v>
      </c>
      <c r="X344" s="68">
        <f t="shared" si="84"/>
        <v>0</v>
      </c>
      <c r="Y344" s="68">
        <f t="shared" si="85"/>
        <v>0</v>
      </c>
      <c r="Z344" s="68">
        <f t="shared" si="86"/>
        <v>317550000</v>
      </c>
      <c r="AA344" s="68"/>
      <c r="AB344" s="68">
        <v>0</v>
      </c>
      <c r="AC344" s="69">
        <f t="shared" si="87"/>
        <v>317550000</v>
      </c>
      <c r="AD344" s="70">
        <v>0</v>
      </c>
      <c r="AE344" s="63">
        <v>40508</v>
      </c>
      <c r="AF344" s="72">
        <v>68462</v>
      </c>
      <c r="AG344" s="63" t="s">
        <v>954</v>
      </c>
      <c r="AH344" s="23" t="s">
        <v>955</v>
      </c>
      <c r="AI344" s="60">
        <v>26392</v>
      </c>
      <c r="AJ344" s="83" t="s">
        <v>2021</v>
      </c>
      <c r="AK344" s="121" t="s">
        <v>245</v>
      </c>
      <c r="AL344" s="107"/>
      <c r="AM344" s="108"/>
      <c r="AN344" s="109"/>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08"/>
      <c r="CM344" s="108"/>
      <c r="CN344" s="110"/>
      <c r="CO344" s="111"/>
      <c r="CP344" s="110"/>
      <c r="CQ344" s="111"/>
      <c r="CR344" s="110"/>
      <c r="CS344" s="111"/>
      <c r="CT344" s="112">
        <f t="shared" si="88"/>
        <v>0</v>
      </c>
      <c r="CU344" s="113">
        <f>150000+200000</f>
        <v>350000</v>
      </c>
      <c r="CV344" s="114">
        <f>150000*910.6+200000*904.8</f>
        <v>317550000</v>
      </c>
      <c r="CW344" s="115"/>
      <c r="CX344" s="116"/>
      <c r="CY344" s="117"/>
      <c r="CZ344" s="116"/>
      <c r="DA344" s="113"/>
      <c r="DB344" s="114"/>
      <c r="DC344" s="64"/>
      <c r="DD344" s="118"/>
    </row>
    <row r="345" spans="1:108" outlineLevel="2">
      <c r="A345" s="178">
        <v>40512</v>
      </c>
      <c r="B345" s="164" t="s">
        <v>960</v>
      </c>
      <c r="C345" s="164" t="s">
        <v>2146</v>
      </c>
      <c r="D345" s="166" t="s">
        <v>1262</v>
      </c>
      <c r="E345" s="163"/>
      <c r="F345" s="105"/>
      <c r="G345" s="105"/>
      <c r="H345" s="105">
        <f>1549*5</f>
        <v>7745</v>
      </c>
      <c r="I345" s="105">
        <v>608</v>
      </c>
      <c r="J345" s="105"/>
      <c r="K345" s="105">
        <v>608</v>
      </c>
      <c r="L345" s="105"/>
      <c r="M345" s="105"/>
      <c r="N345" s="105"/>
      <c r="O345" s="105"/>
      <c r="P345" s="105"/>
      <c r="Q345" s="105"/>
      <c r="R345" s="105"/>
      <c r="S345" s="105"/>
      <c r="T345" s="106"/>
      <c r="U345" s="130"/>
      <c r="V345" s="1"/>
      <c r="W345" s="68">
        <f t="shared" si="83"/>
        <v>0</v>
      </c>
      <c r="X345" s="68">
        <f t="shared" si="84"/>
        <v>0</v>
      </c>
      <c r="Y345" s="68">
        <f t="shared" si="85"/>
        <v>0</v>
      </c>
      <c r="Z345" s="68">
        <f t="shared" si="86"/>
        <v>0</v>
      </c>
      <c r="AA345" s="68"/>
      <c r="AB345" s="68">
        <v>0</v>
      </c>
      <c r="AC345" s="69">
        <f t="shared" si="87"/>
        <v>0</v>
      </c>
      <c r="AD345" s="70">
        <v>0</v>
      </c>
      <c r="AE345" s="63"/>
      <c r="AF345" s="72"/>
      <c r="AG345" s="63"/>
      <c r="AH345" s="23"/>
      <c r="AI345" s="60"/>
      <c r="AJ345" s="124"/>
      <c r="AK345" s="121"/>
      <c r="AL345" s="107"/>
      <c r="AM345" s="108"/>
      <c r="AN345" s="109"/>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08"/>
      <c r="CM345" s="108"/>
      <c r="CN345" s="110"/>
      <c r="CO345" s="111"/>
      <c r="CP345" s="110"/>
      <c r="CQ345" s="111"/>
      <c r="CR345" s="110"/>
      <c r="CS345" s="111"/>
      <c r="CT345" s="112">
        <f t="shared" si="88"/>
        <v>0</v>
      </c>
      <c r="CU345" s="113"/>
      <c r="CV345" s="114"/>
      <c r="CW345" s="115"/>
      <c r="CX345" s="116"/>
      <c r="CY345" s="117"/>
      <c r="CZ345" s="116"/>
      <c r="DA345" s="113"/>
      <c r="DB345" s="114"/>
      <c r="DC345" s="64"/>
      <c r="DD345" s="118"/>
    </row>
    <row r="346" spans="1:108" ht="22.5" outlineLevel="2">
      <c r="A346" s="178">
        <v>40512</v>
      </c>
      <c r="B346" s="164" t="s">
        <v>960</v>
      </c>
      <c r="C346" s="164" t="s">
        <v>914</v>
      </c>
      <c r="D346" s="166" t="s">
        <v>1262</v>
      </c>
      <c r="E346" s="163"/>
      <c r="F346" s="105"/>
      <c r="G346" s="105"/>
      <c r="H346" s="105">
        <f>54*5</f>
        <v>270</v>
      </c>
      <c r="I346" s="105">
        <v>54</v>
      </c>
      <c r="J346" s="105"/>
      <c r="K346" s="105">
        <v>54</v>
      </c>
      <c r="L346" s="105"/>
      <c r="M346" s="105"/>
      <c r="N346" s="105"/>
      <c r="O346" s="105"/>
      <c r="P346" s="105"/>
      <c r="Q346" s="105"/>
      <c r="R346" s="105"/>
      <c r="S346" s="105"/>
      <c r="T346" s="106"/>
      <c r="U346" s="130"/>
      <c r="V346" s="1"/>
      <c r="W346" s="68">
        <f t="shared" si="83"/>
        <v>0</v>
      </c>
      <c r="X346" s="68">
        <f t="shared" si="84"/>
        <v>0</v>
      </c>
      <c r="Y346" s="68">
        <f t="shared" si="85"/>
        <v>0</v>
      </c>
      <c r="Z346" s="68">
        <f t="shared" si="86"/>
        <v>0</v>
      </c>
      <c r="AA346" s="68"/>
      <c r="AB346" s="68">
        <v>0</v>
      </c>
      <c r="AC346" s="69">
        <f t="shared" si="87"/>
        <v>0</v>
      </c>
      <c r="AD346" s="70">
        <v>0</v>
      </c>
      <c r="AE346" s="63"/>
      <c r="AF346" s="72"/>
      <c r="AG346" s="63"/>
      <c r="AH346" s="23"/>
      <c r="AI346" s="60"/>
      <c r="AJ346" s="124"/>
      <c r="AK346" s="121"/>
      <c r="AL346" s="107"/>
      <c r="AM346" s="108"/>
      <c r="AN346" s="109"/>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08"/>
      <c r="CM346" s="108"/>
      <c r="CN346" s="110"/>
      <c r="CO346" s="111"/>
      <c r="CP346" s="110"/>
      <c r="CQ346" s="111"/>
      <c r="CR346" s="110"/>
      <c r="CS346" s="111"/>
      <c r="CT346" s="112">
        <f t="shared" si="88"/>
        <v>0</v>
      </c>
      <c r="CU346" s="113"/>
      <c r="CV346" s="114"/>
      <c r="CW346" s="115"/>
      <c r="CX346" s="116"/>
      <c r="CY346" s="117"/>
      <c r="CZ346" s="116"/>
      <c r="DA346" s="113"/>
      <c r="DB346" s="114"/>
      <c r="DC346" s="64"/>
      <c r="DD346" s="118"/>
    </row>
    <row r="347" spans="1:108" ht="36" outlineLevel="2">
      <c r="A347" s="178">
        <v>40513</v>
      </c>
      <c r="B347" s="164" t="s">
        <v>960</v>
      </c>
      <c r="C347" s="164" t="s">
        <v>1589</v>
      </c>
      <c r="D347" s="166" t="s">
        <v>1262</v>
      </c>
      <c r="E347" s="163"/>
      <c r="F347" s="105"/>
      <c r="G347" s="105"/>
      <c r="H347" s="105">
        <v>2500</v>
      </c>
      <c r="I347" s="105">
        <v>500</v>
      </c>
      <c r="J347" s="105">
        <v>4</v>
      </c>
      <c r="K347" s="105">
        <v>496</v>
      </c>
      <c r="L347" s="105"/>
      <c r="M347" s="105"/>
      <c r="N347" s="105"/>
      <c r="O347" s="105"/>
      <c r="P347" s="105"/>
      <c r="Q347" s="105"/>
      <c r="R347" s="105"/>
      <c r="S347" s="105"/>
      <c r="T347" s="106"/>
      <c r="U347" s="130"/>
      <c r="V347" s="1"/>
      <c r="W347" s="68">
        <f t="shared" si="83"/>
        <v>0</v>
      </c>
      <c r="X347" s="68">
        <f t="shared" si="84"/>
        <v>0</v>
      </c>
      <c r="Y347" s="68">
        <f t="shared" si="85"/>
        <v>0</v>
      </c>
      <c r="Z347" s="68">
        <f t="shared" si="86"/>
        <v>0</v>
      </c>
      <c r="AA347" s="68"/>
      <c r="AB347" s="68">
        <v>0</v>
      </c>
      <c r="AC347" s="69">
        <f t="shared" si="87"/>
        <v>0</v>
      </c>
      <c r="AD347" s="70">
        <v>0</v>
      </c>
      <c r="AE347" s="63"/>
      <c r="AF347" s="72"/>
      <c r="AG347" s="63"/>
      <c r="AH347" s="23"/>
      <c r="AI347" s="60"/>
      <c r="AJ347" s="124"/>
      <c r="AK347" s="121" t="s">
        <v>107</v>
      </c>
      <c r="AL347" s="107"/>
      <c r="AM347" s="108"/>
      <c r="AN347" s="109"/>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08"/>
      <c r="CM347" s="108"/>
      <c r="CN347" s="110"/>
      <c r="CO347" s="111"/>
      <c r="CP347" s="110"/>
      <c r="CQ347" s="111"/>
      <c r="CR347" s="110"/>
      <c r="CS347" s="111"/>
      <c r="CT347" s="112">
        <f t="shared" si="88"/>
        <v>0</v>
      </c>
      <c r="CU347" s="113"/>
      <c r="CV347" s="114"/>
      <c r="CW347" s="115"/>
      <c r="CX347" s="116"/>
      <c r="CY347" s="117"/>
      <c r="CZ347" s="116"/>
      <c r="DA347" s="113"/>
      <c r="DB347" s="114"/>
      <c r="DC347" s="64"/>
      <c r="DD347" s="118"/>
    </row>
    <row r="348" spans="1:108" ht="36" outlineLevel="2">
      <c r="A348" s="178">
        <v>40515</v>
      </c>
      <c r="B348" s="164" t="s">
        <v>960</v>
      </c>
      <c r="C348" s="164" t="s">
        <v>1922</v>
      </c>
      <c r="D348" s="166" t="s">
        <v>1262</v>
      </c>
      <c r="E348" s="163"/>
      <c r="F348" s="105"/>
      <c r="G348" s="105"/>
      <c r="H348" s="105">
        <v>1000</v>
      </c>
      <c r="I348" s="105">
        <v>200</v>
      </c>
      <c r="J348" s="105">
        <v>10</v>
      </c>
      <c r="K348" s="105">
        <v>190</v>
      </c>
      <c r="L348" s="105"/>
      <c r="M348" s="105"/>
      <c r="N348" s="105"/>
      <c r="O348" s="105"/>
      <c r="P348" s="105"/>
      <c r="Q348" s="105"/>
      <c r="R348" s="105"/>
      <c r="S348" s="105"/>
      <c r="T348" s="106"/>
      <c r="U348" s="130"/>
      <c r="V348" s="1"/>
      <c r="W348" s="68">
        <f t="shared" si="83"/>
        <v>0</v>
      </c>
      <c r="X348" s="68">
        <f t="shared" si="84"/>
        <v>0</v>
      </c>
      <c r="Y348" s="68">
        <f t="shared" si="85"/>
        <v>0</v>
      </c>
      <c r="Z348" s="68">
        <f t="shared" si="86"/>
        <v>0</v>
      </c>
      <c r="AA348" s="68"/>
      <c r="AB348" s="68">
        <v>0</v>
      </c>
      <c r="AC348" s="69">
        <f t="shared" si="87"/>
        <v>0</v>
      </c>
      <c r="AD348" s="70">
        <v>0</v>
      </c>
      <c r="AE348" s="63"/>
      <c r="AF348" s="72"/>
      <c r="AG348" s="63"/>
      <c r="AH348" s="23"/>
      <c r="AI348" s="60"/>
      <c r="AJ348" s="124"/>
      <c r="AK348" s="121" t="s">
        <v>108</v>
      </c>
      <c r="AL348" s="107"/>
      <c r="AM348" s="108"/>
      <c r="AN348" s="109"/>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08"/>
      <c r="CM348" s="108"/>
      <c r="CN348" s="110"/>
      <c r="CO348" s="111"/>
      <c r="CP348" s="110"/>
      <c r="CQ348" s="111"/>
      <c r="CR348" s="110"/>
      <c r="CS348" s="111"/>
      <c r="CT348" s="112">
        <f t="shared" si="88"/>
        <v>0</v>
      </c>
      <c r="CU348" s="113"/>
      <c r="CV348" s="114"/>
      <c r="CW348" s="115"/>
      <c r="CX348" s="116"/>
      <c r="CY348" s="117"/>
      <c r="CZ348" s="116"/>
      <c r="DA348" s="113"/>
      <c r="DB348" s="114"/>
      <c r="DC348" s="64"/>
      <c r="DD348" s="118"/>
    </row>
    <row r="349" spans="1:108" ht="108" outlineLevel="2">
      <c r="A349" s="178">
        <v>40515</v>
      </c>
      <c r="B349" s="164" t="s">
        <v>960</v>
      </c>
      <c r="C349" s="164" t="s">
        <v>1360</v>
      </c>
      <c r="D349" s="166" t="s">
        <v>1262</v>
      </c>
      <c r="E349" s="163"/>
      <c r="F349" s="105"/>
      <c r="G349" s="105"/>
      <c r="H349" s="105">
        <v>2350</v>
      </c>
      <c r="I349" s="105">
        <v>470</v>
      </c>
      <c r="J349" s="105">
        <v>3</v>
      </c>
      <c r="K349" s="105">
        <v>467</v>
      </c>
      <c r="L349" s="105"/>
      <c r="M349" s="105"/>
      <c r="N349" s="105"/>
      <c r="O349" s="105"/>
      <c r="P349" s="105"/>
      <c r="Q349" s="105"/>
      <c r="R349" s="105"/>
      <c r="S349" s="105"/>
      <c r="T349" s="106"/>
      <c r="U349" s="130"/>
      <c r="V349" s="1">
        <v>40523</v>
      </c>
      <c r="W349" s="68">
        <f t="shared" si="83"/>
        <v>0</v>
      </c>
      <c r="X349" s="68">
        <f t="shared" si="84"/>
        <v>0</v>
      </c>
      <c r="Y349" s="68">
        <f t="shared" si="85"/>
        <v>0</v>
      </c>
      <c r="Z349" s="68">
        <f t="shared" si="86"/>
        <v>0</v>
      </c>
      <c r="AA349" s="68"/>
      <c r="AB349" s="68">
        <v>60000000</v>
      </c>
      <c r="AC349" s="69">
        <f t="shared" si="87"/>
        <v>60000000</v>
      </c>
      <c r="AD349" s="70">
        <v>0</v>
      </c>
      <c r="AE349" s="63">
        <v>40512</v>
      </c>
      <c r="AF349" s="72">
        <v>68263</v>
      </c>
      <c r="AG349" s="63" t="s">
        <v>954</v>
      </c>
      <c r="AH349" s="23" t="s">
        <v>955</v>
      </c>
      <c r="AI349" s="60">
        <v>46893</v>
      </c>
      <c r="AJ349" s="124" t="s">
        <v>1863</v>
      </c>
      <c r="AK349" s="121" t="s">
        <v>2413</v>
      </c>
      <c r="AL349" s="107"/>
      <c r="AM349" s="108"/>
      <c r="AN349" s="109"/>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08"/>
      <c r="CM349" s="108"/>
      <c r="CN349" s="110"/>
      <c r="CO349" s="111"/>
      <c r="CP349" s="110"/>
      <c r="CQ349" s="111"/>
      <c r="CR349" s="110"/>
      <c r="CS349" s="111"/>
      <c r="CT349" s="112">
        <f t="shared" si="88"/>
        <v>0</v>
      </c>
      <c r="CU349" s="113"/>
      <c r="CV349" s="114"/>
      <c r="CW349" s="115"/>
      <c r="CX349" s="116"/>
      <c r="CY349" s="117"/>
      <c r="CZ349" s="116"/>
      <c r="DA349" s="113"/>
      <c r="DB349" s="114"/>
      <c r="DC349" s="64"/>
      <c r="DD349" s="118"/>
    </row>
    <row r="350" spans="1:108" ht="36" outlineLevel="2">
      <c r="A350" s="178">
        <v>40515</v>
      </c>
      <c r="B350" s="164" t="s">
        <v>960</v>
      </c>
      <c r="C350" s="164" t="s">
        <v>920</v>
      </c>
      <c r="D350" s="166" t="s">
        <v>1262</v>
      </c>
      <c r="E350" s="163"/>
      <c r="F350" s="105"/>
      <c r="G350" s="105"/>
      <c r="H350" s="105">
        <v>250</v>
      </c>
      <c r="I350" s="105">
        <v>50</v>
      </c>
      <c r="J350" s="105"/>
      <c r="K350" s="105">
        <v>50</v>
      </c>
      <c r="L350" s="105"/>
      <c r="M350" s="105"/>
      <c r="N350" s="105"/>
      <c r="O350" s="105"/>
      <c r="P350" s="105"/>
      <c r="Q350" s="105"/>
      <c r="R350" s="105"/>
      <c r="S350" s="105"/>
      <c r="T350" s="106"/>
      <c r="U350" s="130"/>
      <c r="V350" s="1"/>
      <c r="W350" s="68">
        <f t="shared" si="83"/>
        <v>0</v>
      </c>
      <c r="X350" s="68">
        <f t="shared" si="84"/>
        <v>0</v>
      </c>
      <c r="Y350" s="68">
        <f t="shared" si="85"/>
        <v>0</v>
      </c>
      <c r="Z350" s="68">
        <f t="shared" si="86"/>
        <v>0</v>
      </c>
      <c r="AA350" s="68"/>
      <c r="AB350" s="68">
        <v>0</v>
      </c>
      <c r="AC350" s="69">
        <f t="shared" si="87"/>
        <v>0</v>
      </c>
      <c r="AD350" s="70">
        <v>0</v>
      </c>
      <c r="AE350" s="63"/>
      <c r="AF350" s="72"/>
      <c r="AG350" s="63"/>
      <c r="AH350" s="23"/>
      <c r="AI350" s="60"/>
      <c r="AJ350" s="124"/>
      <c r="AK350" s="121" t="s">
        <v>103</v>
      </c>
      <c r="AL350" s="107"/>
      <c r="AM350" s="108"/>
      <c r="AN350" s="109"/>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08"/>
      <c r="CM350" s="108"/>
      <c r="CN350" s="110"/>
      <c r="CO350" s="111"/>
      <c r="CP350" s="110"/>
      <c r="CQ350" s="111"/>
      <c r="CR350" s="110"/>
      <c r="CS350" s="111"/>
      <c r="CT350" s="112">
        <f t="shared" si="88"/>
        <v>0</v>
      </c>
      <c r="CU350" s="113"/>
      <c r="CV350" s="114"/>
      <c r="CW350" s="115"/>
      <c r="CX350" s="116"/>
      <c r="CY350" s="117"/>
      <c r="CZ350" s="116"/>
      <c r="DA350" s="113"/>
      <c r="DB350" s="114"/>
      <c r="DC350" s="64"/>
      <c r="DD350" s="118"/>
    </row>
    <row r="351" spans="1:108" ht="33.75" outlineLevel="2">
      <c r="A351" s="178">
        <v>40515</v>
      </c>
      <c r="B351" s="164" t="s">
        <v>960</v>
      </c>
      <c r="C351" s="164" t="s">
        <v>639</v>
      </c>
      <c r="D351" s="166" t="s">
        <v>1262</v>
      </c>
      <c r="E351" s="163"/>
      <c r="F351" s="105"/>
      <c r="G351" s="105"/>
      <c r="H351" s="105">
        <v>415</v>
      </c>
      <c r="I351" s="105">
        <v>83</v>
      </c>
      <c r="J351" s="105"/>
      <c r="K351" s="105">
        <v>83</v>
      </c>
      <c r="L351" s="105"/>
      <c r="M351" s="105"/>
      <c r="N351" s="105"/>
      <c r="O351" s="105"/>
      <c r="P351" s="105"/>
      <c r="Q351" s="105"/>
      <c r="R351" s="105"/>
      <c r="S351" s="105"/>
      <c r="T351" s="106"/>
      <c r="U351" s="130"/>
      <c r="V351" s="1"/>
      <c r="W351" s="68">
        <f t="shared" si="83"/>
        <v>0</v>
      </c>
      <c r="X351" s="68">
        <f t="shared" si="84"/>
        <v>0</v>
      </c>
      <c r="Y351" s="68">
        <f t="shared" si="85"/>
        <v>0</v>
      </c>
      <c r="Z351" s="68">
        <f t="shared" si="86"/>
        <v>0</v>
      </c>
      <c r="AA351" s="68"/>
      <c r="AB351" s="68">
        <v>0</v>
      </c>
      <c r="AC351" s="69">
        <f t="shared" si="87"/>
        <v>0</v>
      </c>
      <c r="AD351" s="70">
        <v>0</v>
      </c>
      <c r="AE351" s="63"/>
      <c r="AF351" s="72"/>
      <c r="AG351" s="63"/>
      <c r="AH351" s="23"/>
      <c r="AI351" s="60"/>
      <c r="AJ351" s="124"/>
      <c r="AK351" s="121" t="s">
        <v>106</v>
      </c>
      <c r="AL351" s="107"/>
      <c r="AM351" s="108"/>
      <c r="AN351" s="109"/>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08"/>
      <c r="CM351" s="108"/>
      <c r="CN351" s="110"/>
      <c r="CO351" s="111"/>
      <c r="CP351" s="110"/>
      <c r="CQ351" s="111"/>
      <c r="CR351" s="110"/>
      <c r="CS351" s="111"/>
      <c r="CT351" s="112">
        <f t="shared" si="88"/>
        <v>0</v>
      </c>
      <c r="CU351" s="113"/>
      <c r="CV351" s="114"/>
      <c r="CW351" s="115"/>
      <c r="CX351" s="116"/>
      <c r="CY351" s="117"/>
      <c r="CZ351" s="116"/>
      <c r="DA351" s="113"/>
      <c r="DB351" s="114"/>
      <c r="DC351" s="64"/>
      <c r="DD351" s="118"/>
    </row>
    <row r="352" spans="1:108" ht="48" outlineLevel="2">
      <c r="A352" s="178">
        <v>40515</v>
      </c>
      <c r="B352" s="164" t="s">
        <v>960</v>
      </c>
      <c r="C352" s="164" t="s">
        <v>1317</v>
      </c>
      <c r="D352" s="166" t="s">
        <v>1262</v>
      </c>
      <c r="E352" s="163"/>
      <c r="F352" s="105"/>
      <c r="G352" s="105"/>
      <c r="H352" s="105">
        <v>710</v>
      </c>
      <c r="I352" s="105">
        <v>142</v>
      </c>
      <c r="J352" s="105"/>
      <c r="K352" s="105">
        <v>142</v>
      </c>
      <c r="L352" s="105"/>
      <c r="M352" s="105"/>
      <c r="N352" s="105"/>
      <c r="O352" s="105"/>
      <c r="P352" s="105"/>
      <c r="Q352" s="105"/>
      <c r="R352" s="105"/>
      <c r="S352" s="105"/>
      <c r="T352" s="106"/>
      <c r="U352" s="130"/>
      <c r="V352" s="1"/>
      <c r="W352" s="68">
        <f t="shared" si="83"/>
        <v>0</v>
      </c>
      <c r="X352" s="68">
        <f t="shared" si="84"/>
        <v>0</v>
      </c>
      <c r="Y352" s="68">
        <f t="shared" si="85"/>
        <v>0</v>
      </c>
      <c r="Z352" s="68">
        <f t="shared" si="86"/>
        <v>0</v>
      </c>
      <c r="AA352" s="68"/>
      <c r="AB352" s="68">
        <v>0</v>
      </c>
      <c r="AC352" s="69">
        <f t="shared" si="87"/>
        <v>0</v>
      </c>
      <c r="AD352" s="70">
        <v>0</v>
      </c>
      <c r="AE352" s="63"/>
      <c r="AF352" s="72"/>
      <c r="AG352" s="63"/>
      <c r="AH352" s="23"/>
      <c r="AI352" s="60"/>
      <c r="AJ352" s="124"/>
      <c r="AK352" s="121" t="s">
        <v>104</v>
      </c>
      <c r="AL352" s="107"/>
      <c r="AM352" s="108"/>
      <c r="AN352" s="109"/>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08"/>
      <c r="CM352" s="108"/>
      <c r="CN352" s="110"/>
      <c r="CO352" s="111"/>
      <c r="CP352" s="110"/>
      <c r="CQ352" s="111"/>
      <c r="CR352" s="110"/>
      <c r="CS352" s="111"/>
      <c r="CT352" s="112">
        <f t="shared" si="88"/>
        <v>0</v>
      </c>
      <c r="CU352" s="113"/>
      <c r="CV352" s="114"/>
      <c r="CW352" s="115"/>
      <c r="CX352" s="116"/>
      <c r="CY352" s="117"/>
      <c r="CZ352" s="116"/>
      <c r="DA352" s="113"/>
      <c r="DB352" s="114"/>
      <c r="DC352" s="64"/>
      <c r="DD352" s="118"/>
    </row>
    <row r="353" spans="1:108" ht="22.5" outlineLevel="2">
      <c r="A353" s="178">
        <v>40521</v>
      </c>
      <c r="B353" s="164" t="s">
        <v>960</v>
      </c>
      <c r="C353" s="164" t="s">
        <v>1471</v>
      </c>
      <c r="D353" s="166" t="s">
        <v>1262</v>
      </c>
      <c r="E353" s="163"/>
      <c r="F353" s="105"/>
      <c r="G353" s="105"/>
      <c r="H353" s="105">
        <v>4920</v>
      </c>
      <c r="I353" s="105">
        <v>1230</v>
      </c>
      <c r="J353" s="105"/>
      <c r="K353" s="105">
        <v>1230</v>
      </c>
      <c r="L353" s="105"/>
      <c r="M353" s="105"/>
      <c r="N353" s="105"/>
      <c r="O353" s="105"/>
      <c r="P353" s="105"/>
      <c r="Q353" s="105"/>
      <c r="R353" s="105"/>
      <c r="S353" s="105"/>
      <c r="T353" s="106"/>
      <c r="U353" s="130"/>
      <c r="V353" s="1"/>
      <c r="W353" s="68">
        <f t="shared" si="83"/>
        <v>0</v>
      </c>
      <c r="X353" s="68">
        <f t="shared" si="84"/>
        <v>0</v>
      </c>
      <c r="Y353" s="68">
        <f t="shared" si="85"/>
        <v>0</v>
      </c>
      <c r="Z353" s="68">
        <f t="shared" si="86"/>
        <v>0</v>
      </c>
      <c r="AA353" s="68"/>
      <c r="AB353" s="68">
        <v>0</v>
      </c>
      <c r="AC353" s="69">
        <f t="shared" si="87"/>
        <v>0</v>
      </c>
      <c r="AD353" s="70">
        <v>0</v>
      </c>
      <c r="AE353" s="63"/>
      <c r="AF353" s="72"/>
      <c r="AG353" s="63"/>
      <c r="AH353" s="23"/>
      <c r="AI353" s="60"/>
      <c r="AJ353" s="124"/>
      <c r="AK353" s="121"/>
      <c r="AL353" s="107"/>
      <c r="AM353" s="108"/>
      <c r="AN353" s="109"/>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08"/>
      <c r="CM353" s="108"/>
      <c r="CN353" s="110"/>
      <c r="CO353" s="111"/>
      <c r="CP353" s="110"/>
      <c r="CQ353" s="111"/>
      <c r="CR353" s="110"/>
      <c r="CS353" s="111"/>
      <c r="CT353" s="112">
        <f t="shared" si="88"/>
        <v>0</v>
      </c>
      <c r="CU353" s="113"/>
      <c r="CV353" s="114"/>
      <c r="CW353" s="115"/>
      <c r="CX353" s="116"/>
      <c r="CY353" s="117"/>
      <c r="CZ353" s="116"/>
      <c r="DA353" s="113"/>
      <c r="DB353" s="114"/>
      <c r="DC353" s="64"/>
      <c r="DD353" s="118"/>
    </row>
    <row r="354" spans="1:108" ht="36" outlineLevel="2">
      <c r="A354" s="178">
        <v>40525</v>
      </c>
      <c r="B354" s="164" t="s">
        <v>960</v>
      </c>
      <c r="C354" s="164" t="s">
        <v>1922</v>
      </c>
      <c r="D354" s="166" t="s">
        <v>1262</v>
      </c>
      <c r="E354" s="163"/>
      <c r="F354" s="105"/>
      <c r="G354" s="105"/>
      <c r="H354" s="105">
        <v>2500</v>
      </c>
      <c r="I354" s="105">
        <v>500</v>
      </c>
      <c r="J354" s="105"/>
      <c r="K354" s="105">
        <v>500</v>
      </c>
      <c r="L354" s="105"/>
      <c r="M354" s="105"/>
      <c r="N354" s="105"/>
      <c r="O354" s="105"/>
      <c r="P354" s="105"/>
      <c r="Q354" s="105"/>
      <c r="R354" s="105"/>
      <c r="S354" s="105"/>
      <c r="T354" s="106"/>
      <c r="U354" s="130"/>
      <c r="V354" s="1"/>
      <c r="W354" s="68">
        <f t="shared" si="83"/>
        <v>0</v>
      </c>
      <c r="X354" s="68">
        <f t="shared" si="84"/>
        <v>0</v>
      </c>
      <c r="Y354" s="68">
        <f t="shared" si="85"/>
        <v>0</v>
      </c>
      <c r="Z354" s="68">
        <f t="shared" si="86"/>
        <v>0</v>
      </c>
      <c r="AA354" s="68"/>
      <c r="AB354" s="68">
        <v>0</v>
      </c>
      <c r="AC354" s="69">
        <f t="shared" si="87"/>
        <v>0</v>
      </c>
      <c r="AD354" s="70">
        <v>0</v>
      </c>
      <c r="AE354" s="63"/>
      <c r="AF354" s="72"/>
      <c r="AG354" s="63"/>
      <c r="AH354" s="23"/>
      <c r="AI354" s="60"/>
      <c r="AJ354" s="124"/>
      <c r="AK354" s="121" t="s">
        <v>2425</v>
      </c>
      <c r="AL354" s="107"/>
      <c r="AM354" s="108"/>
      <c r="AN354" s="109"/>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08"/>
      <c r="CM354" s="108"/>
      <c r="CN354" s="110"/>
      <c r="CO354" s="111"/>
      <c r="CP354" s="110"/>
      <c r="CQ354" s="111"/>
      <c r="CR354" s="110"/>
      <c r="CS354" s="111"/>
      <c r="CT354" s="112">
        <f t="shared" si="88"/>
        <v>0</v>
      </c>
      <c r="CU354" s="113"/>
      <c r="CV354" s="114"/>
      <c r="CW354" s="115"/>
      <c r="CX354" s="116"/>
      <c r="CY354" s="117"/>
      <c r="CZ354" s="116"/>
      <c r="DA354" s="113"/>
      <c r="DB354" s="114"/>
      <c r="DC354" s="64"/>
      <c r="DD354" s="118"/>
    </row>
    <row r="355" spans="1:108" outlineLevel="1">
      <c r="A355" s="178"/>
      <c r="B355" s="192" t="s">
        <v>2442</v>
      </c>
      <c r="C355" s="164"/>
      <c r="D355" s="166"/>
      <c r="E355" s="163">
        <f t="shared" ref="E355:T355" si="89">SUBTOTAL(9,E273:E354)</f>
        <v>5</v>
      </c>
      <c r="F355" s="105">
        <f t="shared" si="89"/>
        <v>0</v>
      </c>
      <c r="G355" s="105">
        <f t="shared" si="89"/>
        <v>0</v>
      </c>
      <c r="H355" s="105">
        <f t="shared" si="89"/>
        <v>387510</v>
      </c>
      <c r="I355" s="105">
        <f t="shared" si="89"/>
        <v>76796</v>
      </c>
      <c r="J355" s="105">
        <f t="shared" si="89"/>
        <v>68</v>
      </c>
      <c r="K355" s="105">
        <f t="shared" si="89"/>
        <v>76428</v>
      </c>
      <c r="L355" s="105">
        <f t="shared" si="89"/>
        <v>1</v>
      </c>
      <c r="M355" s="105">
        <f t="shared" si="89"/>
        <v>1</v>
      </c>
      <c r="N355" s="105">
        <f t="shared" si="89"/>
        <v>0</v>
      </c>
      <c r="O355" s="105">
        <f t="shared" si="89"/>
        <v>0</v>
      </c>
      <c r="P355" s="105">
        <f t="shared" si="89"/>
        <v>0</v>
      </c>
      <c r="Q355" s="105">
        <f t="shared" si="89"/>
        <v>0</v>
      </c>
      <c r="R355" s="105">
        <f t="shared" si="89"/>
        <v>3</v>
      </c>
      <c r="S355" s="105">
        <f t="shared" si="89"/>
        <v>1</v>
      </c>
      <c r="T355" s="106">
        <f t="shared" si="89"/>
        <v>3650</v>
      </c>
      <c r="U355" s="130"/>
      <c r="V355" s="1"/>
      <c r="W355" s="68">
        <f t="shared" ref="W355:AD355" si="90">SUBTOTAL(9,W273:W354)</f>
        <v>1852905629</v>
      </c>
      <c r="X355" s="68">
        <f t="shared" si="90"/>
        <v>3546876920</v>
      </c>
      <c r="Y355" s="68">
        <f t="shared" si="90"/>
        <v>91601937</v>
      </c>
      <c r="Z355" s="68">
        <f t="shared" si="90"/>
        <v>699619200</v>
      </c>
      <c r="AA355" s="68">
        <f t="shared" si="90"/>
        <v>11460800</v>
      </c>
      <c r="AB355" s="68">
        <f t="shared" si="90"/>
        <v>231719000</v>
      </c>
      <c r="AC355" s="69">
        <f t="shared" si="90"/>
        <v>6434183486</v>
      </c>
      <c r="AD355" s="70">
        <f t="shared" si="90"/>
        <v>1429426000</v>
      </c>
      <c r="AE355" s="63"/>
      <c r="AF355" s="72"/>
      <c r="AG355" s="63"/>
      <c r="AH355" s="23"/>
      <c r="AI355" s="60"/>
      <c r="AJ355" s="124"/>
      <c r="AK355" s="121"/>
      <c r="AL355" s="107"/>
      <c r="AM355" s="108"/>
      <c r="AN355" s="109"/>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08"/>
      <c r="CM355" s="108"/>
      <c r="CN355" s="110"/>
      <c r="CO355" s="111"/>
      <c r="CP355" s="110"/>
      <c r="CQ355" s="111"/>
      <c r="CR355" s="110"/>
      <c r="CS355" s="111"/>
      <c r="CT355" s="112"/>
      <c r="CU355" s="113"/>
      <c r="CV355" s="114"/>
      <c r="CW355" s="115"/>
      <c r="CX355" s="116"/>
      <c r="CY355" s="117"/>
      <c r="CZ355" s="116"/>
      <c r="DA355" s="113"/>
      <c r="DB355" s="114"/>
      <c r="DC355" s="64"/>
      <c r="DD355" s="118"/>
    </row>
    <row r="356" spans="1:108" ht="36" outlineLevel="2">
      <c r="A356" s="178">
        <v>40276</v>
      </c>
      <c r="B356" s="82" t="s">
        <v>1256</v>
      </c>
      <c r="C356" s="82" t="s">
        <v>1149</v>
      </c>
      <c r="D356" s="165" t="s">
        <v>1262</v>
      </c>
      <c r="E356" s="167"/>
      <c r="F356" s="66"/>
      <c r="G356" s="66"/>
      <c r="H356" s="66">
        <v>15</v>
      </c>
      <c r="I356" s="66">
        <v>3</v>
      </c>
      <c r="J356" s="66"/>
      <c r="K356" s="66">
        <v>3</v>
      </c>
      <c r="L356" s="66"/>
      <c r="M356" s="66"/>
      <c r="N356" s="66"/>
      <c r="O356" s="66"/>
      <c r="P356" s="66"/>
      <c r="Q356" s="66"/>
      <c r="R356" s="66"/>
      <c r="S356" s="66"/>
      <c r="T356" s="67"/>
      <c r="U356" s="151"/>
      <c r="V356" s="1"/>
      <c r="W356" s="68">
        <f t="shared" ref="W356:W387" si="91">CT356</f>
        <v>0</v>
      </c>
      <c r="X356" s="68">
        <f t="shared" ref="X356:X387" si="92">CX356</f>
        <v>0</v>
      </c>
      <c r="Y356" s="68">
        <f t="shared" ref="Y356:Y387" si="93">CZ356+DB356</f>
        <v>0</v>
      </c>
      <c r="Z356" s="68">
        <f t="shared" ref="Z356:Z387" si="94">CV356</f>
        <v>0</v>
      </c>
      <c r="AA356" s="68"/>
      <c r="AB356" s="68">
        <v>0</v>
      </c>
      <c r="AC356" s="69">
        <f t="shared" ref="AC356:AC387" si="95">W356+X356+Y356+Z356+AA356+AB356</f>
        <v>0</v>
      </c>
      <c r="AD356" s="70">
        <v>0</v>
      </c>
      <c r="AE356" s="63">
        <v>40277</v>
      </c>
      <c r="AF356" s="72"/>
      <c r="AG356" s="63" t="s">
        <v>938</v>
      </c>
      <c r="AH356" s="23" t="s">
        <v>939</v>
      </c>
      <c r="AI356" s="60"/>
      <c r="AJ356" s="133" t="s">
        <v>1608</v>
      </c>
      <c r="AK356" s="73" t="s">
        <v>1270</v>
      </c>
      <c r="AL356" s="3"/>
      <c r="AM356" s="4"/>
      <c r="AN356" s="5"/>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6"/>
      <c r="CO356" s="7"/>
      <c r="CP356" s="6"/>
      <c r="CQ356" s="7"/>
      <c r="CR356" s="6"/>
      <c r="CS356" s="7"/>
      <c r="CT356" s="8">
        <f t="shared" ref="CT356:CT387" si="96">AM356+AO356+AQ356+AS356+AU356+AW356+AY356+BA356+BC356+BE356+BG356+BI356+BK356+BM356+BO356+BQ356+BS356+BU356+BW356+BY356+CA356+CC356+CE356+CG356+CI356+CK356+CM356+CO356+CQ356+CS356</f>
        <v>0</v>
      </c>
      <c r="CU356" s="9"/>
      <c r="CV356" s="10"/>
      <c r="CW356" s="11"/>
      <c r="CX356" s="12"/>
      <c r="CY356" s="26"/>
      <c r="CZ356" s="12"/>
      <c r="DA356" s="9"/>
      <c r="DB356" s="10"/>
      <c r="DC356" s="64"/>
    </row>
    <row r="357" spans="1:108" ht="72" outlineLevel="2">
      <c r="A357" s="178">
        <v>40276</v>
      </c>
      <c r="B357" s="82" t="s">
        <v>1256</v>
      </c>
      <c r="C357" s="82" t="s">
        <v>1148</v>
      </c>
      <c r="D357" s="165" t="s">
        <v>1262</v>
      </c>
      <c r="E357" s="167"/>
      <c r="F357" s="66"/>
      <c r="G357" s="66"/>
      <c r="H357" s="66">
        <f>116*5</f>
        <v>580</v>
      </c>
      <c r="I357" s="66">
        <v>116</v>
      </c>
      <c r="J357" s="66"/>
      <c r="K357" s="66">
        <v>116</v>
      </c>
      <c r="L357" s="66"/>
      <c r="M357" s="66"/>
      <c r="N357" s="66"/>
      <c r="O357" s="66"/>
      <c r="P357" s="66"/>
      <c r="Q357" s="66"/>
      <c r="R357" s="66"/>
      <c r="S357" s="66"/>
      <c r="T357" s="67"/>
      <c r="U357" s="151"/>
      <c r="V357" s="1">
        <v>40290</v>
      </c>
      <c r="W357" s="68">
        <f t="shared" si="91"/>
        <v>0</v>
      </c>
      <c r="X357" s="68">
        <f t="shared" si="92"/>
        <v>0</v>
      </c>
      <c r="Y357" s="68">
        <f t="shared" si="93"/>
        <v>0</v>
      </c>
      <c r="Z357" s="68">
        <f t="shared" si="94"/>
        <v>0</v>
      </c>
      <c r="AA357" s="68"/>
      <c r="AB357" s="68">
        <v>15000000</v>
      </c>
      <c r="AC357" s="69">
        <f t="shared" si="95"/>
        <v>15000000</v>
      </c>
      <c r="AD357" s="70">
        <v>0</v>
      </c>
      <c r="AE357" s="63">
        <v>40277</v>
      </c>
      <c r="AF357" s="72">
        <v>96530</v>
      </c>
      <c r="AG357" s="63" t="s">
        <v>954</v>
      </c>
      <c r="AH357" s="23" t="s">
        <v>955</v>
      </c>
      <c r="AI357" s="60">
        <v>208</v>
      </c>
      <c r="AJ357" s="133" t="s">
        <v>415</v>
      </c>
      <c r="AK357" s="73" t="s">
        <v>1684</v>
      </c>
      <c r="AL357" s="3"/>
      <c r="AM357" s="4"/>
      <c r="AN357" s="5"/>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6"/>
      <c r="CO357" s="7"/>
      <c r="CP357" s="6"/>
      <c r="CQ357" s="7"/>
      <c r="CR357" s="6"/>
      <c r="CS357" s="7"/>
      <c r="CT357" s="8">
        <f t="shared" si="96"/>
        <v>0</v>
      </c>
      <c r="CU357" s="9"/>
      <c r="CV357" s="10"/>
      <c r="CW357" s="11"/>
      <c r="CX357" s="12"/>
      <c r="CY357" s="26"/>
      <c r="CZ357" s="12"/>
      <c r="DA357" s="9"/>
      <c r="DB357" s="10"/>
      <c r="DC357" s="64">
        <v>2</v>
      </c>
    </row>
    <row r="358" spans="1:108" ht="22.5" outlineLevel="2">
      <c r="A358" s="178">
        <v>40276</v>
      </c>
      <c r="B358" s="82" t="s">
        <v>1256</v>
      </c>
      <c r="C358" s="82" t="s">
        <v>1237</v>
      </c>
      <c r="D358" s="165" t="s">
        <v>1262</v>
      </c>
      <c r="E358" s="167"/>
      <c r="F358" s="66"/>
      <c r="G358" s="66"/>
      <c r="H358" s="66"/>
      <c r="I358" s="66"/>
      <c r="J358" s="66"/>
      <c r="K358" s="66"/>
      <c r="L358" s="66"/>
      <c r="M358" s="66"/>
      <c r="N358" s="66"/>
      <c r="O358" s="66"/>
      <c r="P358" s="66"/>
      <c r="Q358" s="66"/>
      <c r="R358" s="66"/>
      <c r="S358" s="66">
        <v>1</v>
      </c>
      <c r="T358" s="67"/>
      <c r="U358" s="151"/>
      <c r="V358" s="1"/>
      <c r="W358" s="68">
        <f t="shared" si="91"/>
        <v>0</v>
      </c>
      <c r="X358" s="68">
        <f t="shared" si="92"/>
        <v>0</v>
      </c>
      <c r="Y358" s="68">
        <f t="shared" si="93"/>
        <v>0</v>
      </c>
      <c r="Z358" s="68">
        <f t="shared" si="94"/>
        <v>0</v>
      </c>
      <c r="AA358" s="68"/>
      <c r="AB358" s="68">
        <v>0</v>
      </c>
      <c r="AC358" s="69">
        <f t="shared" si="95"/>
        <v>0</v>
      </c>
      <c r="AD358" s="70">
        <v>0</v>
      </c>
      <c r="AE358" s="63">
        <v>40277</v>
      </c>
      <c r="AF358" s="72"/>
      <c r="AG358" s="63" t="s">
        <v>938</v>
      </c>
      <c r="AH358" s="23" t="s">
        <v>939</v>
      </c>
      <c r="AI358" s="60"/>
      <c r="AJ358" s="133" t="s">
        <v>1608</v>
      </c>
      <c r="AK358" s="73" t="s">
        <v>2388</v>
      </c>
      <c r="AL358" s="3"/>
      <c r="AM358" s="4"/>
      <c r="AN358" s="5"/>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6"/>
      <c r="CO358" s="7"/>
      <c r="CP358" s="6"/>
      <c r="CQ358" s="7"/>
      <c r="CR358" s="6"/>
      <c r="CS358" s="7"/>
      <c r="CT358" s="8">
        <f t="shared" si="96"/>
        <v>0</v>
      </c>
      <c r="CU358" s="9"/>
      <c r="CV358" s="10"/>
      <c r="CW358" s="11"/>
      <c r="CX358" s="12"/>
      <c r="CY358" s="26"/>
      <c r="CZ358" s="12"/>
      <c r="DA358" s="9"/>
      <c r="DB358" s="10"/>
      <c r="DC358" s="64"/>
    </row>
    <row r="359" spans="1:108" ht="22.5" outlineLevel="2">
      <c r="A359" s="178">
        <v>40277</v>
      </c>
      <c r="B359" s="82" t="s">
        <v>1256</v>
      </c>
      <c r="C359" s="82" t="s">
        <v>1237</v>
      </c>
      <c r="D359" s="165" t="s">
        <v>1182</v>
      </c>
      <c r="E359" s="167"/>
      <c r="F359" s="66"/>
      <c r="G359" s="66"/>
      <c r="H359" s="66">
        <v>15</v>
      </c>
      <c r="I359" s="66">
        <v>3</v>
      </c>
      <c r="J359" s="66"/>
      <c r="K359" s="66">
        <v>3</v>
      </c>
      <c r="L359" s="66"/>
      <c r="M359" s="66"/>
      <c r="N359" s="66"/>
      <c r="O359" s="66"/>
      <c r="P359" s="66"/>
      <c r="Q359" s="66"/>
      <c r="R359" s="66"/>
      <c r="S359" s="66"/>
      <c r="T359" s="67"/>
      <c r="U359" s="151"/>
      <c r="V359" s="1"/>
      <c r="W359" s="68">
        <f t="shared" si="91"/>
        <v>0</v>
      </c>
      <c r="X359" s="68">
        <f t="shared" si="92"/>
        <v>0</v>
      </c>
      <c r="Y359" s="68">
        <f t="shared" si="93"/>
        <v>0</v>
      </c>
      <c r="Z359" s="68">
        <f t="shared" si="94"/>
        <v>0</v>
      </c>
      <c r="AA359" s="68"/>
      <c r="AB359" s="68">
        <v>0</v>
      </c>
      <c r="AC359" s="69">
        <f t="shared" si="95"/>
        <v>0</v>
      </c>
      <c r="AD359" s="70">
        <v>0</v>
      </c>
      <c r="AE359" s="63">
        <v>40277</v>
      </c>
      <c r="AF359" s="72"/>
      <c r="AG359" s="63" t="s">
        <v>938</v>
      </c>
      <c r="AH359" s="23" t="s">
        <v>939</v>
      </c>
      <c r="AI359" s="60"/>
      <c r="AJ359" s="133" t="s">
        <v>1608</v>
      </c>
      <c r="AK359" s="73" t="s">
        <v>1051</v>
      </c>
      <c r="AL359" s="3"/>
      <c r="AM359" s="4"/>
      <c r="AN359" s="5"/>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6"/>
      <c r="CO359" s="7"/>
      <c r="CP359" s="6"/>
      <c r="CQ359" s="7"/>
      <c r="CR359" s="6"/>
      <c r="CS359" s="7"/>
      <c r="CT359" s="8">
        <f t="shared" si="96"/>
        <v>0</v>
      </c>
      <c r="CU359" s="9"/>
      <c r="CV359" s="10"/>
      <c r="CW359" s="11"/>
      <c r="CX359" s="12"/>
      <c r="CY359" s="26"/>
      <c r="CZ359" s="12"/>
      <c r="DA359" s="9"/>
      <c r="DB359" s="10"/>
      <c r="DC359" s="64"/>
    </row>
    <row r="360" spans="1:108" outlineLevel="2">
      <c r="A360" s="178">
        <v>40278</v>
      </c>
      <c r="B360" s="82" t="s">
        <v>1256</v>
      </c>
      <c r="C360" s="82" t="s">
        <v>2386</v>
      </c>
      <c r="D360" s="165" t="s">
        <v>1262</v>
      </c>
      <c r="E360" s="167"/>
      <c r="F360" s="66"/>
      <c r="G360" s="66"/>
      <c r="H360" s="66">
        <v>35</v>
      </c>
      <c r="I360" s="66">
        <v>7</v>
      </c>
      <c r="J360" s="66"/>
      <c r="K360" s="66">
        <v>7</v>
      </c>
      <c r="L360" s="66"/>
      <c r="M360" s="66"/>
      <c r="N360" s="66"/>
      <c r="O360" s="66"/>
      <c r="P360" s="66"/>
      <c r="Q360" s="66"/>
      <c r="R360" s="66"/>
      <c r="S360" s="66"/>
      <c r="T360" s="67"/>
      <c r="U360" s="151"/>
      <c r="V360" s="1"/>
      <c r="W360" s="68">
        <f t="shared" si="91"/>
        <v>0</v>
      </c>
      <c r="X360" s="68">
        <f t="shared" si="92"/>
        <v>0</v>
      </c>
      <c r="Y360" s="68">
        <f t="shared" si="93"/>
        <v>0</v>
      </c>
      <c r="Z360" s="68">
        <f t="shared" si="94"/>
        <v>0</v>
      </c>
      <c r="AA360" s="68"/>
      <c r="AB360" s="68">
        <v>0</v>
      </c>
      <c r="AC360" s="69">
        <f t="shared" si="95"/>
        <v>0</v>
      </c>
      <c r="AD360" s="70">
        <v>0</v>
      </c>
      <c r="AE360" s="63">
        <v>40280</v>
      </c>
      <c r="AF360" s="72"/>
      <c r="AG360" s="63" t="s">
        <v>938</v>
      </c>
      <c r="AH360" s="23" t="s">
        <v>939</v>
      </c>
      <c r="AI360" s="60"/>
      <c r="AJ360" s="133" t="s">
        <v>1608</v>
      </c>
      <c r="AK360" s="73" t="s">
        <v>2387</v>
      </c>
      <c r="AL360" s="3"/>
      <c r="AM360" s="4"/>
      <c r="AN360" s="5"/>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6"/>
      <c r="CO360" s="7"/>
      <c r="CP360" s="6"/>
      <c r="CQ360" s="7"/>
      <c r="CR360" s="6"/>
      <c r="CS360" s="7"/>
      <c r="CT360" s="8">
        <f t="shared" si="96"/>
        <v>0</v>
      </c>
      <c r="CU360" s="9"/>
      <c r="CV360" s="10"/>
      <c r="CW360" s="11"/>
      <c r="CX360" s="12"/>
      <c r="CY360" s="26"/>
      <c r="CZ360" s="12"/>
      <c r="DA360" s="9"/>
      <c r="DB360" s="10"/>
      <c r="DC360" s="64"/>
    </row>
    <row r="361" spans="1:108" ht="24" outlineLevel="2">
      <c r="A361" s="178">
        <v>40285</v>
      </c>
      <c r="B361" s="82" t="s">
        <v>1256</v>
      </c>
      <c r="C361" s="82" t="s">
        <v>1203</v>
      </c>
      <c r="D361" s="165" t="s">
        <v>1182</v>
      </c>
      <c r="E361" s="167"/>
      <c r="F361" s="66"/>
      <c r="G361" s="66"/>
      <c r="H361" s="66"/>
      <c r="I361" s="66"/>
      <c r="J361" s="66"/>
      <c r="K361" s="66"/>
      <c r="L361" s="66"/>
      <c r="M361" s="66"/>
      <c r="N361" s="66"/>
      <c r="O361" s="66"/>
      <c r="P361" s="66"/>
      <c r="Q361" s="66"/>
      <c r="R361" s="66"/>
      <c r="S361" s="66"/>
      <c r="T361" s="67">
        <v>1</v>
      </c>
      <c r="U361" s="151" t="s">
        <v>1638</v>
      </c>
      <c r="V361" s="1"/>
      <c r="W361" s="68">
        <f t="shared" si="91"/>
        <v>0</v>
      </c>
      <c r="X361" s="68">
        <f t="shared" si="92"/>
        <v>0</v>
      </c>
      <c r="Y361" s="68">
        <f t="shared" si="93"/>
        <v>0</v>
      </c>
      <c r="Z361" s="68">
        <f t="shared" si="94"/>
        <v>0</v>
      </c>
      <c r="AA361" s="68"/>
      <c r="AB361" s="68">
        <v>0</v>
      </c>
      <c r="AC361" s="69">
        <f t="shared" si="95"/>
        <v>0</v>
      </c>
      <c r="AD361" s="70">
        <v>0</v>
      </c>
      <c r="AE361" s="63">
        <v>40292</v>
      </c>
      <c r="AF361" s="72"/>
      <c r="AG361" s="63" t="s">
        <v>938</v>
      </c>
      <c r="AH361" s="23" t="s">
        <v>939</v>
      </c>
      <c r="AI361" s="60"/>
      <c r="AJ361" s="133" t="s">
        <v>1608</v>
      </c>
      <c r="AK361" s="73" t="s">
        <v>1639</v>
      </c>
      <c r="AL361" s="3"/>
      <c r="AM361" s="4"/>
      <c r="AN361" s="5"/>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6"/>
      <c r="CO361" s="7"/>
      <c r="CP361" s="6"/>
      <c r="CQ361" s="7"/>
      <c r="CR361" s="6"/>
      <c r="CS361" s="7"/>
      <c r="CT361" s="8">
        <f t="shared" si="96"/>
        <v>0</v>
      </c>
      <c r="CU361" s="9"/>
      <c r="CV361" s="10"/>
      <c r="CW361" s="11"/>
      <c r="CX361" s="12"/>
      <c r="CY361" s="26"/>
      <c r="CZ361" s="12"/>
      <c r="DA361" s="9"/>
      <c r="DB361" s="10"/>
      <c r="DC361" s="64"/>
    </row>
    <row r="362" spans="1:108" ht="24" outlineLevel="2">
      <c r="A362" s="178">
        <v>40285</v>
      </c>
      <c r="B362" s="82" t="s">
        <v>1256</v>
      </c>
      <c r="C362" s="82" t="s">
        <v>1210</v>
      </c>
      <c r="D362" s="165" t="s">
        <v>1262</v>
      </c>
      <c r="E362" s="167"/>
      <c r="F362" s="66"/>
      <c r="G362" s="66"/>
      <c r="H362" s="66">
        <v>65</v>
      </c>
      <c r="I362" s="66">
        <v>13</v>
      </c>
      <c r="J362" s="66"/>
      <c r="K362" s="66">
        <v>13</v>
      </c>
      <c r="L362" s="66">
        <v>1</v>
      </c>
      <c r="M362" s="66"/>
      <c r="N362" s="66"/>
      <c r="O362" s="66"/>
      <c r="P362" s="66"/>
      <c r="Q362" s="66"/>
      <c r="R362" s="66">
        <v>2</v>
      </c>
      <c r="S362" s="66"/>
      <c r="T362" s="67">
        <v>30</v>
      </c>
      <c r="U362" s="151" t="s">
        <v>1641</v>
      </c>
      <c r="V362" s="1"/>
      <c r="W362" s="68">
        <f t="shared" si="91"/>
        <v>0</v>
      </c>
      <c r="X362" s="68">
        <f t="shared" si="92"/>
        <v>0</v>
      </c>
      <c r="Y362" s="68">
        <f t="shared" si="93"/>
        <v>0</v>
      </c>
      <c r="Z362" s="68">
        <f t="shared" si="94"/>
        <v>0</v>
      </c>
      <c r="AA362" s="68"/>
      <c r="AB362" s="68">
        <v>0</v>
      </c>
      <c r="AC362" s="69">
        <f t="shared" si="95"/>
        <v>0</v>
      </c>
      <c r="AD362" s="70">
        <v>0</v>
      </c>
      <c r="AE362" s="63">
        <v>40287</v>
      </c>
      <c r="AF362" s="72"/>
      <c r="AG362" s="63" t="s">
        <v>938</v>
      </c>
      <c r="AH362" s="23" t="s">
        <v>939</v>
      </c>
      <c r="AI362" s="60"/>
      <c r="AJ362" s="133" t="s">
        <v>1608</v>
      </c>
      <c r="AK362" s="73" t="s">
        <v>2384</v>
      </c>
      <c r="AL362" s="3"/>
      <c r="AM362" s="4"/>
      <c r="AN362" s="5"/>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6"/>
      <c r="CO362" s="7"/>
      <c r="CP362" s="6"/>
      <c r="CQ362" s="7"/>
      <c r="CR362" s="6"/>
      <c r="CS362" s="7"/>
      <c r="CT362" s="8">
        <f t="shared" si="96"/>
        <v>0</v>
      </c>
      <c r="CU362" s="9"/>
      <c r="CV362" s="10"/>
      <c r="CW362" s="11"/>
      <c r="CX362" s="12"/>
      <c r="CY362" s="26"/>
      <c r="CZ362" s="12"/>
      <c r="DA362" s="9"/>
      <c r="DB362" s="10"/>
      <c r="DC362" s="64"/>
    </row>
    <row r="363" spans="1:108" ht="24" outlineLevel="2">
      <c r="A363" s="178">
        <v>40285</v>
      </c>
      <c r="B363" s="82" t="s">
        <v>1256</v>
      </c>
      <c r="C363" s="82" t="s">
        <v>2385</v>
      </c>
      <c r="D363" s="165" t="s">
        <v>1182</v>
      </c>
      <c r="E363" s="167"/>
      <c r="F363" s="66"/>
      <c r="G363" s="66"/>
      <c r="H363" s="66">
        <v>15</v>
      </c>
      <c r="I363" s="66">
        <v>3</v>
      </c>
      <c r="J363" s="66"/>
      <c r="K363" s="66">
        <v>3</v>
      </c>
      <c r="L363" s="66"/>
      <c r="M363" s="66"/>
      <c r="N363" s="66"/>
      <c r="O363" s="66"/>
      <c r="P363" s="66"/>
      <c r="Q363" s="66"/>
      <c r="R363" s="66"/>
      <c r="S363" s="66"/>
      <c r="T363" s="67"/>
      <c r="U363" s="151"/>
      <c r="V363" s="1"/>
      <c r="W363" s="68">
        <f t="shared" si="91"/>
        <v>0</v>
      </c>
      <c r="X363" s="68">
        <f t="shared" si="92"/>
        <v>0</v>
      </c>
      <c r="Y363" s="68">
        <f t="shared" si="93"/>
        <v>0</v>
      </c>
      <c r="Z363" s="68">
        <f t="shared" si="94"/>
        <v>0</v>
      </c>
      <c r="AA363" s="68"/>
      <c r="AB363" s="68">
        <v>0</v>
      </c>
      <c r="AC363" s="69">
        <f t="shared" si="95"/>
        <v>0</v>
      </c>
      <c r="AD363" s="70">
        <v>0</v>
      </c>
      <c r="AE363" s="63">
        <v>40287</v>
      </c>
      <c r="AF363" s="72"/>
      <c r="AG363" s="63" t="s">
        <v>938</v>
      </c>
      <c r="AH363" s="23" t="s">
        <v>939</v>
      </c>
      <c r="AI363" s="60"/>
      <c r="AJ363" s="133" t="s">
        <v>1608</v>
      </c>
      <c r="AK363" s="73" t="s">
        <v>1640</v>
      </c>
      <c r="AL363" s="3"/>
      <c r="AM363" s="4"/>
      <c r="AN363" s="5"/>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6"/>
      <c r="CO363" s="7"/>
      <c r="CP363" s="6"/>
      <c r="CQ363" s="7"/>
      <c r="CR363" s="6"/>
      <c r="CS363" s="7"/>
      <c r="CT363" s="8">
        <f t="shared" si="96"/>
        <v>0</v>
      </c>
      <c r="CU363" s="9"/>
      <c r="CV363" s="10"/>
      <c r="CW363" s="11"/>
      <c r="CX363" s="12"/>
      <c r="CY363" s="26"/>
      <c r="CZ363" s="12"/>
      <c r="DA363" s="9"/>
      <c r="DB363" s="10"/>
      <c r="DC363" s="64"/>
    </row>
    <row r="364" spans="1:108" ht="24" outlineLevel="2">
      <c r="A364" s="178">
        <v>40285</v>
      </c>
      <c r="B364" s="82" t="s">
        <v>1256</v>
      </c>
      <c r="C364" s="82" t="s">
        <v>1705</v>
      </c>
      <c r="D364" s="165" t="s">
        <v>435</v>
      </c>
      <c r="E364" s="167"/>
      <c r="F364" s="66"/>
      <c r="G364" s="66"/>
      <c r="H364" s="66">
        <v>80</v>
      </c>
      <c r="I364" s="66">
        <v>16</v>
      </c>
      <c r="J364" s="66"/>
      <c r="K364" s="66">
        <v>16</v>
      </c>
      <c r="L364" s="66"/>
      <c r="M364" s="66"/>
      <c r="N364" s="66"/>
      <c r="O364" s="66"/>
      <c r="P364" s="66"/>
      <c r="Q364" s="66"/>
      <c r="R364" s="66">
        <v>1</v>
      </c>
      <c r="S364" s="66"/>
      <c r="T364" s="67"/>
      <c r="U364" s="151"/>
      <c r="V364" s="1"/>
      <c r="W364" s="68">
        <f t="shared" si="91"/>
        <v>0</v>
      </c>
      <c r="X364" s="68">
        <f t="shared" si="92"/>
        <v>0</v>
      </c>
      <c r="Y364" s="68">
        <f t="shared" si="93"/>
        <v>0</v>
      </c>
      <c r="Z364" s="68">
        <f t="shared" si="94"/>
        <v>0</v>
      </c>
      <c r="AA364" s="68"/>
      <c r="AB364" s="68">
        <v>0</v>
      </c>
      <c r="AC364" s="69">
        <f t="shared" si="95"/>
        <v>0</v>
      </c>
      <c r="AD364" s="70">
        <v>0</v>
      </c>
      <c r="AE364" s="63">
        <v>40286</v>
      </c>
      <c r="AF364" s="72"/>
      <c r="AG364" s="63" t="s">
        <v>938</v>
      </c>
      <c r="AH364" s="23" t="s">
        <v>939</v>
      </c>
      <c r="AI364" s="60"/>
      <c r="AJ364" s="133" t="s">
        <v>1608</v>
      </c>
      <c r="AK364" s="73" t="s">
        <v>1637</v>
      </c>
      <c r="AL364" s="3"/>
      <c r="AM364" s="4"/>
      <c r="AN364" s="5"/>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6"/>
      <c r="CO364" s="7"/>
      <c r="CP364" s="6"/>
      <c r="CQ364" s="7"/>
      <c r="CR364" s="6"/>
      <c r="CS364" s="7"/>
      <c r="CT364" s="8">
        <f t="shared" si="96"/>
        <v>0</v>
      </c>
      <c r="CU364" s="9"/>
      <c r="CV364" s="10"/>
      <c r="CW364" s="11"/>
      <c r="CX364" s="12"/>
      <c r="CY364" s="26"/>
      <c r="CZ364" s="12"/>
      <c r="DA364" s="9"/>
      <c r="DB364" s="10"/>
      <c r="DC364" s="64"/>
    </row>
    <row r="365" spans="1:108" ht="24" outlineLevel="2">
      <c r="A365" s="178">
        <v>40287</v>
      </c>
      <c r="B365" s="82" t="s">
        <v>1256</v>
      </c>
      <c r="C365" s="82" t="s">
        <v>1209</v>
      </c>
      <c r="D365" s="165" t="s">
        <v>435</v>
      </c>
      <c r="E365" s="167"/>
      <c r="F365" s="66"/>
      <c r="G365" s="66"/>
      <c r="H365" s="66">
        <v>35</v>
      </c>
      <c r="I365" s="66">
        <v>7</v>
      </c>
      <c r="J365" s="66"/>
      <c r="K365" s="66">
        <v>7</v>
      </c>
      <c r="L365" s="66"/>
      <c r="M365" s="66"/>
      <c r="N365" s="66"/>
      <c r="O365" s="66"/>
      <c r="P365" s="66"/>
      <c r="Q365" s="66"/>
      <c r="R365" s="66"/>
      <c r="S365" s="66"/>
      <c r="T365" s="67"/>
      <c r="U365" s="151"/>
      <c r="V365" s="1"/>
      <c r="W365" s="68">
        <f t="shared" si="91"/>
        <v>0</v>
      </c>
      <c r="X365" s="68">
        <f t="shared" si="92"/>
        <v>0</v>
      </c>
      <c r="Y365" s="68">
        <f t="shared" si="93"/>
        <v>0</v>
      </c>
      <c r="Z365" s="68">
        <f t="shared" si="94"/>
        <v>0</v>
      </c>
      <c r="AA365" s="68"/>
      <c r="AB365" s="68">
        <v>0</v>
      </c>
      <c r="AC365" s="69">
        <f t="shared" si="95"/>
        <v>0</v>
      </c>
      <c r="AD365" s="70">
        <v>0</v>
      </c>
      <c r="AE365" s="63">
        <v>40290</v>
      </c>
      <c r="AF365" s="72"/>
      <c r="AG365" s="63" t="s">
        <v>938</v>
      </c>
      <c r="AH365" s="23" t="s">
        <v>939</v>
      </c>
      <c r="AI365" s="60"/>
      <c r="AJ365" s="133" t="s">
        <v>1608</v>
      </c>
      <c r="AK365" s="73" t="s">
        <v>1235</v>
      </c>
      <c r="AL365" s="3"/>
      <c r="AM365" s="4"/>
      <c r="AN365" s="5"/>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6"/>
      <c r="CO365" s="7"/>
      <c r="CP365" s="6"/>
      <c r="CQ365" s="7"/>
      <c r="CR365" s="6"/>
      <c r="CS365" s="7"/>
      <c r="CT365" s="8">
        <f t="shared" si="96"/>
        <v>0</v>
      </c>
      <c r="CU365" s="9"/>
      <c r="CV365" s="10"/>
      <c r="CW365" s="11"/>
      <c r="CX365" s="12"/>
      <c r="CY365" s="26"/>
      <c r="CZ365" s="12"/>
      <c r="DA365" s="9"/>
      <c r="DB365" s="10"/>
      <c r="DC365" s="64"/>
    </row>
    <row r="366" spans="1:108" ht="36" outlineLevel="2">
      <c r="A366" s="178">
        <v>40287</v>
      </c>
      <c r="B366" s="82" t="s">
        <v>1256</v>
      </c>
      <c r="C366" s="82" t="s">
        <v>1212</v>
      </c>
      <c r="D366" s="165" t="s">
        <v>1262</v>
      </c>
      <c r="E366" s="167"/>
      <c r="F366" s="66"/>
      <c r="G366" s="66"/>
      <c r="H366" s="66">
        <v>75</v>
      </c>
      <c r="I366" s="66">
        <v>15</v>
      </c>
      <c r="J366" s="66"/>
      <c r="K366" s="66">
        <v>15</v>
      </c>
      <c r="L366" s="66"/>
      <c r="M366" s="66"/>
      <c r="N366" s="66"/>
      <c r="O366" s="66"/>
      <c r="P366" s="66"/>
      <c r="Q366" s="66"/>
      <c r="R366" s="66"/>
      <c r="S366" s="66"/>
      <c r="T366" s="67"/>
      <c r="U366" s="151"/>
      <c r="V366" s="1"/>
      <c r="W366" s="68">
        <f t="shared" si="91"/>
        <v>0</v>
      </c>
      <c r="X366" s="68">
        <f t="shared" si="92"/>
        <v>0</v>
      </c>
      <c r="Y366" s="68">
        <f t="shared" si="93"/>
        <v>0</v>
      </c>
      <c r="Z366" s="68">
        <f t="shared" si="94"/>
        <v>0</v>
      </c>
      <c r="AA366" s="68"/>
      <c r="AB366" s="68">
        <v>0</v>
      </c>
      <c r="AC366" s="69">
        <f t="shared" si="95"/>
        <v>0</v>
      </c>
      <c r="AD366" s="70">
        <v>0</v>
      </c>
      <c r="AE366" s="63">
        <v>40290</v>
      </c>
      <c r="AF366" s="72"/>
      <c r="AG366" s="63" t="s">
        <v>938</v>
      </c>
      <c r="AH366" s="23" t="s">
        <v>939</v>
      </c>
      <c r="AI366" s="60"/>
      <c r="AJ366" s="133" t="s">
        <v>1608</v>
      </c>
      <c r="AK366" s="73" t="s">
        <v>2383</v>
      </c>
      <c r="AL366" s="3"/>
      <c r="AM366" s="4"/>
      <c r="AN366" s="5"/>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6"/>
      <c r="CO366" s="7"/>
      <c r="CP366" s="6"/>
      <c r="CQ366" s="7"/>
      <c r="CR366" s="6"/>
      <c r="CS366" s="7"/>
      <c r="CT366" s="8">
        <f t="shared" si="96"/>
        <v>0</v>
      </c>
      <c r="CU366" s="9"/>
      <c r="CV366" s="10"/>
      <c r="CW366" s="11"/>
      <c r="CX366" s="12"/>
      <c r="CY366" s="26"/>
      <c r="CZ366" s="12"/>
      <c r="DA366" s="9"/>
      <c r="DB366" s="10"/>
      <c r="DC366" s="64"/>
    </row>
    <row r="367" spans="1:108" ht="24" outlineLevel="2">
      <c r="A367" s="178">
        <v>40289</v>
      </c>
      <c r="B367" s="82" t="s">
        <v>1256</v>
      </c>
      <c r="C367" s="82" t="s">
        <v>1213</v>
      </c>
      <c r="D367" s="165" t="s">
        <v>435</v>
      </c>
      <c r="E367" s="167"/>
      <c r="F367" s="66"/>
      <c r="G367" s="66"/>
      <c r="H367" s="66">
        <v>125</v>
      </c>
      <c r="I367" s="66">
        <v>25</v>
      </c>
      <c r="J367" s="66"/>
      <c r="K367" s="66">
        <v>25</v>
      </c>
      <c r="L367" s="66"/>
      <c r="M367" s="66"/>
      <c r="N367" s="66"/>
      <c r="O367" s="66"/>
      <c r="P367" s="66"/>
      <c r="Q367" s="66"/>
      <c r="R367" s="66"/>
      <c r="S367" s="66"/>
      <c r="T367" s="67"/>
      <c r="U367" s="151"/>
      <c r="V367" s="1"/>
      <c r="W367" s="68">
        <f t="shared" si="91"/>
        <v>0</v>
      </c>
      <c r="X367" s="68">
        <f t="shared" si="92"/>
        <v>0</v>
      </c>
      <c r="Y367" s="68">
        <f t="shared" si="93"/>
        <v>0</v>
      </c>
      <c r="Z367" s="68">
        <f t="shared" si="94"/>
        <v>0</v>
      </c>
      <c r="AA367" s="68"/>
      <c r="AB367" s="68">
        <v>0</v>
      </c>
      <c r="AC367" s="69">
        <f t="shared" si="95"/>
        <v>0</v>
      </c>
      <c r="AD367" s="70">
        <v>0</v>
      </c>
      <c r="AE367" s="63">
        <v>40292</v>
      </c>
      <c r="AF367" s="72"/>
      <c r="AG367" s="63" t="s">
        <v>938</v>
      </c>
      <c r="AH367" s="23" t="s">
        <v>939</v>
      </c>
      <c r="AI367" s="60"/>
      <c r="AJ367" s="133" t="s">
        <v>1608</v>
      </c>
      <c r="AK367" s="73" t="s">
        <v>1642</v>
      </c>
      <c r="AL367" s="3"/>
      <c r="AM367" s="4"/>
      <c r="AN367" s="5"/>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6"/>
      <c r="CO367" s="7"/>
      <c r="CP367" s="6"/>
      <c r="CQ367" s="7"/>
      <c r="CR367" s="6"/>
      <c r="CS367" s="7"/>
      <c r="CT367" s="8">
        <f t="shared" si="96"/>
        <v>0</v>
      </c>
      <c r="CU367" s="9"/>
      <c r="CV367" s="10"/>
      <c r="CW367" s="11"/>
      <c r="CX367" s="12"/>
      <c r="CY367" s="26"/>
      <c r="CZ367" s="12"/>
      <c r="DA367" s="9"/>
      <c r="DB367" s="10"/>
      <c r="DC367" s="64"/>
    </row>
    <row r="368" spans="1:108" ht="48" outlineLevel="2">
      <c r="A368" s="178">
        <v>40294</v>
      </c>
      <c r="B368" s="82" t="s">
        <v>1256</v>
      </c>
      <c r="C368" s="82" t="s">
        <v>1212</v>
      </c>
      <c r="D368" s="165" t="s">
        <v>435</v>
      </c>
      <c r="E368" s="167"/>
      <c r="F368" s="66"/>
      <c r="G368" s="66"/>
      <c r="H368" s="66">
        <f>12*5</f>
        <v>60</v>
      </c>
      <c r="I368" s="66">
        <v>12</v>
      </c>
      <c r="J368" s="66"/>
      <c r="K368" s="66">
        <v>12</v>
      </c>
      <c r="L368" s="66"/>
      <c r="M368" s="66"/>
      <c r="N368" s="66"/>
      <c r="O368" s="66"/>
      <c r="P368" s="66"/>
      <c r="Q368" s="66"/>
      <c r="R368" s="66"/>
      <c r="S368" s="66"/>
      <c r="T368" s="67"/>
      <c r="U368" s="151"/>
      <c r="V368" s="1"/>
      <c r="W368" s="68">
        <f t="shared" si="91"/>
        <v>0</v>
      </c>
      <c r="X368" s="68">
        <f t="shared" si="92"/>
        <v>0</v>
      </c>
      <c r="Y368" s="68">
        <f t="shared" si="93"/>
        <v>0</v>
      </c>
      <c r="Z368" s="68">
        <f t="shared" si="94"/>
        <v>0</v>
      </c>
      <c r="AA368" s="68"/>
      <c r="AB368" s="68">
        <v>0</v>
      </c>
      <c r="AC368" s="69">
        <f t="shared" si="95"/>
        <v>0</v>
      </c>
      <c r="AD368" s="70">
        <v>0</v>
      </c>
      <c r="AE368" s="63">
        <v>40303</v>
      </c>
      <c r="AF368" s="72">
        <v>97262</v>
      </c>
      <c r="AG368" s="63" t="s">
        <v>938</v>
      </c>
      <c r="AH368" s="23" t="s">
        <v>939</v>
      </c>
      <c r="AI368" s="60"/>
      <c r="AJ368" s="133" t="s">
        <v>1608</v>
      </c>
      <c r="AK368" s="73" t="s">
        <v>422</v>
      </c>
      <c r="AL368" s="3"/>
      <c r="AM368" s="4"/>
      <c r="AN368" s="5"/>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6"/>
      <c r="CO368" s="7"/>
      <c r="CP368" s="6"/>
      <c r="CQ368" s="7"/>
      <c r="CR368" s="6"/>
      <c r="CS368" s="7"/>
      <c r="CT368" s="8">
        <f t="shared" si="96"/>
        <v>0</v>
      </c>
      <c r="CU368" s="9"/>
      <c r="CV368" s="10"/>
      <c r="CW368" s="11"/>
      <c r="CX368" s="12"/>
      <c r="CY368" s="26"/>
      <c r="CZ368" s="12"/>
      <c r="DA368" s="9"/>
      <c r="DB368" s="10"/>
      <c r="DC368" s="64"/>
    </row>
    <row r="369" spans="1:108" ht="60" outlineLevel="2">
      <c r="A369" s="178">
        <v>40300</v>
      </c>
      <c r="B369" s="82" t="s">
        <v>1256</v>
      </c>
      <c r="C369" s="82" t="s">
        <v>1705</v>
      </c>
      <c r="D369" s="165" t="s">
        <v>1262</v>
      </c>
      <c r="E369" s="167"/>
      <c r="F369" s="66"/>
      <c r="G369" s="66"/>
      <c r="H369" s="66">
        <v>125</v>
      </c>
      <c r="I369" s="66">
        <v>25</v>
      </c>
      <c r="J369" s="66"/>
      <c r="K369" s="66">
        <v>25</v>
      </c>
      <c r="L369" s="66"/>
      <c r="M369" s="66"/>
      <c r="N369" s="66"/>
      <c r="O369" s="66"/>
      <c r="P369" s="66"/>
      <c r="Q369" s="66"/>
      <c r="R369" s="66"/>
      <c r="S369" s="66"/>
      <c r="T369" s="67"/>
      <c r="U369" s="151"/>
      <c r="V369" s="1"/>
      <c r="W369" s="68">
        <f t="shared" si="91"/>
        <v>0</v>
      </c>
      <c r="X369" s="68">
        <f t="shared" si="92"/>
        <v>0</v>
      </c>
      <c r="Y369" s="68">
        <f t="shared" si="93"/>
        <v>0</v>
      </c>
      <c r="Z369" s="68">
        <f t="shared" si="94"/>
        <v>0</v>
      </c>
      <c r="AA369" s="68"/>
      <c r="AB369" s="68">
        <v>0</v>
      </c>
      <c r="AC369" s="69">
        <f t="shared" si="95"/>
        <v>0</v>
      </c>
      <c r="AD369" s="70">
        <v>0</v>
      </c>
      <c r="AE369" s="63">
        <v>40301</v>
      </c>
      <c r="AF369" s="72"/>
      <c r="AG369" s="63" t="s">
        <v>938</v>
      </c>
      <c r="AH369" s="23" t="s">
        <v>939</v>
      </c>
      <c r="AI369" s="60"/>
      <c r="AJ369" s="133" t="s">
        <v>1608</v>
      </c>
      <c r="AK369" s="73" t="s">
        <v>618</v>
      </c>
      <c r="AL369" s="3"/>
      <c r="AM369" s="4"/>
      <c r="AN369" s="5"/>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6"/>
      <c r="CO369" s="7"/>
      <c r="CP369" s="6"/>
      <c r="CQ369" s="7"/>
      <c r="CR369" s="6"/>
      <c r="CS369" s="7"/>
      <c r="CT369" s="8">
        <f t="shared" si="96"/>
        <v>0</v>
      </c>
      <c r="CU369" s="9"/>
      <c r="CV369" s="10"/>
      <c r="CW369" s="11"/>
      <c r="CX369" s="12"/>
      <c r="CY369" s="26"/>
      <c r="CZ369" s="12"/>
      <c r="DA369" s="9"/>
      <c r="DB369" s="10"/>
      <c r="DC369" s="64"/>
    </row>
    <row r="370" spans="1:108" ht="24" outlineLevel="2">
      <c r="A370" s="178">
        <v>40319</v>
      </c>
      <c r="B370" s="82" t="s">
        <v>1256</v>
      </c>
      <c r="C370" s="82" t="s">
        <v>1567</v>
      </c>
      <c r="D370" s="165" t="s">
        <v>1262</v>
      </c>
      <c r="E370" s="167"/>
      <c r="F370" s="66"/>
      <c r="G370" s="66"/>
      <c r="H370" s="66">
        <v>110</v>
      </c>
      <c r="I370" s="66">
        <v>22</v>
      </c>
      <c r="J370" s="66">
        <v>2</v>
      </c>
      <c r="K370" s="66">
        <v>11</v>
      </c>
      <c r="L370" s="66"/>
      <c r="M370" s="66">
        <v>1</v>
      </c>
      <c r="N370" s="66">
        <v>2</v>
      </c>
      <c r="O370" s="66">
        <v>1</v>
      </c>
      <c r="P370" s="66"/>
      <c r="Q370" s="66"/>
      <c r="R370" s="66"/>
      <c r="S370" s="66"/>
      <c r="T370" s="67"/>
      <c r="U370" s="151"/>
      <c r="V370" s="1"/>
      <c r="W370" s="68">
        <f t="shared" si="91"/>
        <v>0</v>
      </c>
      <c r="X370" s="68">
        <f t="shared" si="92"/>
        <v>0</v>
      </c>
      <c r="Y370" s="68">
        <f t="shared" si="93"/>
        <v>0</v>
      </c>
      <c r="Z370" s="68">
        <f t="shared" si="94"/>
        <v>0</v>
      </c>
      <c r="AA370" s="68"/>
      <c r="AB370" s="68">
        <v>0</v>
      </c>
      <c r="AC370" s="69">
        <f t="shared" si="95"/>
        <v>0</v>
      </c>
      <c r="AD370" s="70">
        <v>0</v>
      </c>
      <c r="AE370" s="63">
        <v>40322</v>
      </c>
      <c r="AF370" s="72"/>
      <c r="AG370" s="63" t="s">
        <v>938</v>
      </c>
      <c r="AH370" s="23" t="s">
        <v>939</v>
      </c>
      <c r="AI370" s="60"/>
      <c r="AJ370" s="133" t="s">
        <v>1608</v>
      </c>
      <c r="AK370" s="73" t="s">
        <v>1099</v>
      </c>
      <c r="AL370" s="3"/>
      <c r="AM370" s="4"/>
      <c r="AN370" s="5"/>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6"/>
      <c r="CO370" s="7"/>
      <c r="CP370" s="6"/>
      <c r="CQ370" s="7"/>
      <c r="CR370" s="6"/>
      <c r="CS370" s="7"/>
      <c r="CT370" s="8">
        <f t="shared" si="96"/>
        <v>0</v>
      </c>
      <c r="CU370" s="9"/>
      <c r="CV370" s="10"/>
      <c r="CW370" s="11"/>
      <c r="CX370" s="12"/>
      <c r="CY370" s="26"/>
      <c r="CZ370" s="12"/>
      <c r="DA370" s="9"/>
      <c r="DB370" s="10"/>
      <c r="DC370" s="64"/>
    </row>
    <row r="371" spans="1:108" ht="24" outlineLevel="2">
      <c r="A371" s="178">
        <v>40328</v>
      </c>
      <c r="B371" s="82" t="s">
        <v>1256</v>
      </c>
      <c r="C371" s="82" t="s">
        <v>1705</v>
      </c>
      <c r="D371" s="165" t="s">
        <v>1262</v>
      </c>
      <c r="E371" s="167"/>
      <c r="F371" s="66"/>
      <c r="G371" s="66"/>
      <c r="H371" s="66">
        <v>85</v>
      </c>
      <c r="I371" s="66">
        <v>17</v>
      </c>
      <c r="J371" s="66">
        <v>1</v>
      </c>
      <c r="K371" s="66">
        <v>16</v>
      </c>
      <c r="L371" s="66"/>
      <c r="M371" s="66"/>
      <c r="N371" s="66"/>
      <c r="O371" s="66"/>
      <c r="P371" s="66"/>
      <c r="Q371" s="66"/>
      <c r="R371" s="66"/>
      <c r="S371" s="66"/>
      <c r="T371" s="67"/>
      <c r="U371" s="151"/>
      <c r="V371" s="1"/>
      <c r="W371" s="68">
        <f t="shared" si="91"/>
        <v>0</v>
      </c>
      <c r="X371" s="68">
        <f t="shared" si="92"/>
        <v>0</v>
      </c>
      <c r="Y371" s="68">
        <f t="shared" si="93"/>
        <v>0</v>
      </c>
      <c r="Z371" s="68">
        <f t="shared" si="94"/>
        <v>0</v>
      </c>
      <c r="AA371" s="68"/>
      <c r="AB371" s="68">
        <v>0</v>
      </c>
      <c r="AC371" s="69">
        <f t="shared" si="95"/>
        <v>0</v>
      </c>
      <c r="AD371" s="70">
        <v>0</v>
      </c>
      <c r="AE371" s="63">
        <v>40329</v>
      </c>
      <c r="AF371" s="72"/>
      <c r="AG371" s="63" t="s">
        <v>938</v>
      </c>
      <c r="AH371" s="23" t="s">
        <v>939</v>
      </c>
      <c r="AI371" s="60"/>
      <c r="AJ371" s="133" t="s">
        <v>1608</v>
      </c>
      <c r="AK371" s="73" t="s">
        <v>1586</v>
      </c>
      <c r="AL371" s="3"/>
      <c r="AM371" s="4"/>
      <c r="AN371" s="5"/>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6"/>
      <c r="CO371" s="7"/>
      <c r="CP371" s="6"/>
      <c r="CQ371" s="7"/>
      <c r="CR371" s="6"/>
      <c r="CS371" s="7"/>
      <c r="CT371" s="8">
        <f t="shared" si="96"/>
        <v>0</v>
      </c>
      <c r="CU371" s="9"/>
      <c r="CV371" s="10"/>
      <c r="CW371" s="11"/>
      <c r="CX371" s="12"/>
      <c r="CY371" s="26"/>
      <c r="CZ371" s="12"/>
      <c r="DA371" s="9"/>
      <c r="DB371" s="10"/>
      <c r="DC371" s="64"/>
    </row>
    <row r="372" spans="1:108" outlineLevel="2">
      <c r="A372" s="178">
        <v>40333</v>
      </c>
      <c r="B372" s="82" t="s">
        <v>1256</v>
      </c>
      <c r="C372" s="82" t="s">
        <v>1202</v>
      </c>
      <c r="D372" s="165" t="s">
        <v>1182</v>
      </c>
      <c r="E372" s="167"/>
      <c r="F372" s="66"/>
      <c r="G372" s="66"/>
      <c r="H372" s="66">
        <v>50</v>
      </c>
      <c r="I372" s="66">
        <v>10</v>
      </c>
      <c r="J372" s="66">
        <v>3</v>
      </c>
      <c r="K372" s="66">
        <v>7</v>
      </c>
      <c r="L372" s="66">
        <v>1</v>
      </c>
      <c r="M372" s="66"/>
      <c r="N372" s="66"/>
      <c r="O372" s="66"/>
      <c r="P372" s="66"/>
      <c r="Q372" s="66"/>
      <c r="R372" s="66"/>
      <c r="S372" s="66"/>
      <c r="T372" s="67"/>
      <c r="U372" s="151"/>
      <c r="V372" s="1"/>
      <c r="W372" s="68">
        <f t="shared" si="91"/>
        <v>0</v>
      </c>
      <c r="X372" s="68">
        <f t="shared" si="92"/>
        <v>0</v>
      </c>
      <c r="Y372" s="68">
        <f t="shared" si="93"/>
        <v>0</v>
      </c>
      <c r="Z372" s="68">
        <f t="shared" si="94"/>
        <v>0</v>
      </c>
      <c r="AA372" s="68"/>
      <c r="AB372" s="68">
        <v>0</v>
      </c>
      <c r="AC372" s="69">
        <f t="shared" si="95"/>
        <v>0</v>
      </c>
      <c r="AD372" s="70">
        <v>0</v>
      </c>
      <c r="AE372" s="63">
        <v>40344</v>
      </c>
      <c r="AF372" s="72"/>
      <c r="AG372" s="63" t="s">
        <v>938</v>
      </c>
      <c r="AH372" s="23" t="s">
        <v>939</v>
      </c>
      <c r="AI372" s="60"/>
      <c r="AJ372" s="133" t="s">
        <v>1608</v>
      </c>
      <c r="AK372" s="73" t="s">
        <v>1040</v>
      </c>
      <c r="AL372" s="3"/>
      <c r="AM372" s="4"/>
      <c r="AN372" s="5"/>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6"/>
      <c r="CO372" s="7"/>
      <c r="CP372" s="6"/>
      <c r="CQ372" s="7"/>
      <c r="CR372" s="6"/>
      <c r="CS372" s="7"/>
      <c r="CT372" s="8">
        <f t="shared" si="96"/>
        <v>0</v>
      </c>
      <c r="CU372" s="9"/>
      <c r="CV372" s="10"/>
      <c r="CW372" s="11"/>
      <c r="CX372" s="12"/>
      <c r="CY372" s="26"/>
      <c r="CZ372" s="12"/>
      <c r="DA372" s="9"/>
      <c r="DB372" s="10"/>
      <c r="DC372" s="64"/>
    </row>
    <row r="373" spans="1:108" ht="22.5" outlineLevel="2">
      <c r="A373" s="178">
        <v>40333</v>
      </c>
      <c r="B373" s="82" t="s">
        <v>1256</v>
      </c>
      <c r="C373" s="82" t="s">
        <v>1041</v>
      </c>
      <c r="D373" s="165" t="s">
        <v>1182</v>
      </c>
      <c r="E373" s="167"/>
      <c r="F373" s="66"/>
      <c r="G373" s="66"/>
      <c r="H373" s="66">
        <v>150</v>
      </c>
      <c r="I373" s="66">
        <v>30</v>
      </c>
      <c r="J373" s="66"/>
      <c r="K373" s="66">
        <v>20</v>
      </c>
      <c r="L373" s="66"/>
      <c r="M373" s="66"/>
      <c r="N373" s="66">
        <v>2</v>
      </c>
      <c r="O373" s="66">
        <v>1</v>
      </c>
      <c r="P373" s="66"/>
      <c r="Q373" s="66"/>
      <c r="R373" s="66"/>
      <c r="S373" s="66"/>
      <c r="T373" s="67"/>
      <c r="U373" s="151"/>
      <c r="V373" s="1"/>
      <c r="W373" s="68">
        <f t="shared" si="91"/>
        <v>0</v>
      </c>
      <c r="X373" s="68">
        <f t="shared" si="92"/>
        <v>0</v>
      </c>
      <c r="Y373" s="68">
        <f t="shared" si="93"/>
        <v>0</v>
      </c>
      <c r="Z373" s="68">
        <f t="shared" si="94"/>
        <v>0</v>
      </c>
      <c r="AA373" s="68"/>
      <c r="AB373" s="68">
        <v>0</v>
      </c>
      <c r="AC373" s="69">
        <f t="shared" si="95"/>
        <v>0</v>
      </c>
      <c r="AD373" s="70">
        <v>0</v>
      </c>
      <c r="AE373" s="63">
        <v>40344</v>
      </c>
      <c r="AF373" s="72"/>
      <c r="AG373" s="63" t="s">
        <v>938</v>
      </c>
      <c r="AH373" s="23" t="s">
        <v>939</v>
      </c>
      <c r="AI373" s="60"/>
      <c r="AJ373" s="133" t="s">
        <v>1608</v>
      </c>
      <c r="AK373" s="73" t="s">
        <v>1042</v>
      </c>
      <c r="AL373" s="3"/>
      <c r="AM373" s="4"/>
      <c r="AN373" s="5"/>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6"/>
      <c r="CO373" s="7"/>
      <c r="CP373" s="6"/>
      <c r="CQ373" s="7"/>
      <c r="CR373" s="6"/>
      <c r="CS373" s="7"/>
      <c r="CT373" s="8">
        <f t="shared" si="96"/>
        <v>0</v>
      </c>
      <c r="CU373" s="9"/>
      <c r="CV373" s="10"/>
      <c r="CW373" s="11"/>
      <c r="CX373" s="12"/>
      <c r="CY373" s="26"/>
      <c r="CZ373" s="12"/>
      <c r="DA373" s="9"/>
      <c r="DB373" s="10"/>
      <c r="DC373" s="64"/>
    </row>
    <row r="374" spans="1:108" ht="24" outlineLevel="2">
      <c r="A374" s="178">
        <v>40349</v>
      </c>
      <c r="B374" s="82" t="s">
        <v>1256</v>
      </c>
      <c r="C374" s="82" t="s">
        <v>1396</v>
      </c>
      <c r="D374" s="165" t="s">
        <v>1182</v>
      </c>
      <c r="E374" s="167"/>
      <c r="F374" s="66"/>
      <c r="G374" s="66"/>
      <c r="H374" s="66"/>
      <c r="I374" s="66"/>
      <c r="J374" s="66"/>
      <c r="K374" s="66"/>
      <c r="L374" s="66">
        <v>1</v>
      </c>
      <c r="M374" s="66"/>
      <c r="N374" s="66"/>
      <c r="O374" s="66"/>
      <c r="P374" s="66"/>
      <c r="Q374" s="66"/>
      <c r="R374" s="66"/>
      <c r="S374" s="66"/>
      <c r="T374" s="67"/>
      <c r="U374" s="151"/>
      <c r="V374" s="1"/>
      <c r="W374" s="68">
        <f t="shared" si="91"/>
        <v>0</v>
      </c>
      <c r="X374" s="68">
        <f t="shared" si="92"/>
        <v>0</v>
      </c>
      <c r="Y374" s="68">
        <f t="shared" si="93"/>
        <v>0</v>
      </c>
      <c r="Z374" s="68">
        <f t="shared" si="94"/>
        <v>0</v>
      </c>
      <c r="AA374" s="68"/>
      <c r="AB374" s="68">
        <v>0</v>
      </c>
      <c r="AC374" s="69">
        <f t="shared" si="95"/>
        <v>0</v>
      </c>
      <c r="AD374" s="70">
        <v>0</v>
      </c>
      <c r="AE374" s="63">
        <v>40350</v>
      </c>
      <c r="AF374" s="72"/>
      <c r="AG374" s="63" t="s">
        <v>938</v>
      </c>
      <c r="AH374" s="23" t="s">
        <v>939</v>
      </c>
      <c r="AI374" s="60"/>
      <c r="AJ374" s="133" t="s">
        <v>1608</v>
      </c>
      <c r="AK374" s="73" t="s">
        <v>1397</v>
      </c>
      <c r="AL374" s="3"/>
      <c r="AM374" s="4"/>
      <c r="AN374" s="5"/>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6"/>
      <c r="CO374" s="7"/>
      <c r="CP374" s="6"/>
      <c r="CQ374" s="7"/>
      <c r="CR374" s="6"/>
      <c r="CS374" s="7"/>
      <c r="CT374" s="8">
        <f t="shared" si="96"/>
        <v>0</v>
      </c>
      <c r="CU374" s="9"/>
      <c r="CV374" s="10"/>
      <c r="CW374" s="11"/>
      <c r="CX374" s="12"/>
      <c r="CY374" s="26"/>
      <c r="CZ374" s="12"/>
      <c r="DA374" s="9"/>
      <c r="DB374" s="10"/>
      <c r="DC374" s="64"/>
    </row>
    <row r="375" spans="1:108" outlineLevel="2">
      <c r="A375" s="178">
        <v>40349</v>
      </c>
      <c r="B375" s="82" t="s">
        <v>1256</v>
      </c>
      <c r="C375" s="82" t="s">
        <v>1433</v>
      </c>
      <c r="D375" s="165" t="s">
        <v>1182</v>
      </c>
      <c r="E375" s="167"/>
      <c r="F375" s="66"/>
      <c r="G375" s="66"/>
      <c r="H375" s="66"/>
      <c r="I375" s="66"/>
      <c r="J375" s="66"/>
      <c r="K375" s="66"/>
      <c r="L375" s="66"/>
      <c r="M375" s="66"/>
      <c r="N375" s="66"/>
      <c r="O375" s="66"/>
      <c r="P375" s="66"/>
      <c r="Q375" s="66"/>
      <c r="R375" s="66"/>
      <c r="S375" s="66"/>
      <c r="T375" s="67"/>
      <c r="U375" s="151"/>
      <c r="V375" s="1"/>
      <c r="W375" s="68">
        <f t="shared" si="91"/>
        <v>0</v>
      </c>
      <c r="X375" s="68">
        <f t="shared" si="92"/>
        <v>0</v>
      </c>
      <c r="Y375" s="68">
        <f t="shared" si="93"/>
        <v>0</v>
      </c>
      <c r="Z375" s="68">
        <f t="shared" si="94"/>
        <v>0</v>
      </c>
      <c r="AA375" s="68"/>
      <c r="AB375" s="68">
        <v>0</v>
      </c>
      <c r="AC375" s="69">
        <f t="shared" si="95"/>
        <v>0</v>
      </c>
      <c r="AD375" s="70">
        <v>0</v>
      </c>
      <c r="AE375" s="63">
        <v>40350</v>
      </c>
      <c r="AF375" s="72"/>
      <c r="AG375" s="63" t="s">
        <v>938</v>
      </c>
      <c r="AH375" s="23" t="s">
        <v>939</v>
      </c>
      <c r="AI375" s="60"/>
      <c r="AJ375" s="133" t="s">
        <v>1608</v>
      </c>
      <c r="AK375" s="73" t="s">
        <v>1434</v>
      </c>
      <c r="AL375" s="3"/>
      <c r="AM375" s="4"/>
      <c r="AN375" s="5"/>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6"/>
      <c r="CO375" s="7"/>
      <c r="CP375" s="6"/>
      <c r="CQ375" s="7"/>
      <c r="CR375" s="6"/>
      <c r="CS375" s="7"/>
      <c r="CT375" s="8">
        <f t="shared" si="96"/>
        <v>0</v>
      </c>
      <c r="CU375" s="9"/>
      <c r="CV375" s="10"/>
      <c r="CW375" s="11"/>
      <c r="CX375" s="12"/>
      <c r="CY375" s="26"/>
      <c r="CZ375" s="12"/>
      <c r="DA375" s="9"/>
      <c r="DB375" s="10"/>
      <c r="DC375" s="64"/>
    </row>
    <row r="376" spans="1:108" outlineLevel="2">
      <c r="A376" s="178">
        <v>40349</v>
      </c>
      <c r="B376" s="82" t="s">
        <v>1256</v>
      </c>
      <c r="C376" s="82" t="s">
        <v>1213</v>
      </c>
      <c r="D376" s="165" t="s">
        <v>1182</v>
      </c>
      <c r="E376" s="167"/>
      <c r="F376" s="66"/>
      <c r="G376" s="66"/>
      <c r="H376" s="66"/>
      <c r="I376" s="66"/>
      <c r="J376" s="66"/>
      <c r="K376" s="66"/>
      <c r="L376" s="66">
        <v>1</v>
      </c>
      <c r="M376" s="66"/>
      <c r="N376" s="66"/>
      <c r="O376" s="66"/>
      <c r="P376" s="66"/>
      <c r="Q376" s="66"/>
      <c r="R376" s="66"/>
      <c r="S376" s="66"/>
      <c r="T376" s="67"/>
      <c r="U376" s="151"/>
      <c r="V376" s="1"/>
      <c r="W376" s="68">
        <f t="shared" si="91"/>
        <v>0</v>
      </c>
      <c r="X376" s="68">
        <f t="shared" si="92"/>
        <v>0</v>
      </c>
      <c r="Y376" s="68">
        <f t="shared" si="93"/>
        <v>0</v>
      </c>
      <c r="Z376" s="68">
        <f t="shared" si="94"/>
        <v>0</v>
      </c>
      <c r="AA376" s="68"/>
      <c r="AB376" s="68">
        <v>0</v>
      </c>
      <c r="AC376" s="69">
        <f t="shared" si="95"/>
        <v>0</v>
      </c>
      <c r="AD376" s="70">
        <v>0</v>
      </c>
      <c r="AE376" s="63">
        <v>40350</v>
      </c>
      <c r="AF376" s="72"/>
      <c r="AG376" s="63" t="s">
        <v>938</v>
      </c>
      <c r="AH376" s="23" t="s">
        <v>939</v>
      </c>
      <c r="AI376" s="60"/>
      <c r="AJ376" s="133" t="s">
        <v>1608</v>
      </c>
      <c r="AK376" s="73" t="s">
        <v>1398</v>
      </c>
      <c r="AL376" s="3"/>
      <c r="AM376" s="4"/>
      <c r="AN376" s="5"/>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6"/>
      <c r="CO376" s="7"/>
      <c r="CP376" s="6"/>
      <c r="CQ376" s="7"/>
      <c r="CR376" s="6"/>
      <c r="CS376" s="7"/>
      <c r="CT376" s="8">
        <f t="shared" si="96"/>
        <v>0</v>
      </c>
      <c r="CU376" s="9"/>
      <c r="CV376" s="10"/>
      <c r="CW376" s="11"/>
      <c r="CX376" s="12"/>
      <c r="CY376" s="26"/>
      <c r="CZ376" s="12"/>
      <c r="DA376" s="9"/>
      <c r="DB376" s="10"/>
      <c r="DC376" s="64"/>
    </row>
    <row r="377" spans="1:108" ht="36" outlineLevel="2">
      <c r="A377" s="178">
        <v>40352</v>
      </c>
      <c r="B377" s="82" t="s">
        <v>1256</v>
      </c>
      <c r="C377" s="82" t="s">
        <v>1406</v>
      </c>
      <c r="D377" s="165" t="s">
        <v>1182</v>
      </c>
      <c r="E377" s="167">
        <v>1</v>
      </c>
      <c r="F377" s="66"/>
      <c r="G377" s="66"/>
      <c r="H377" s="66">
        <v>5</v>
      </c>
      <c r="I377" s="66">
        <v>1</v>
      </c>
      <c r="J377" s="66">
        <v>1</v>
      </c>
      <c r="K377" s="66"/>
      <c r="L377" s="66"/>
      <c r="M377" s="66"/>
      <c r="N377" s="66"/>
      <c r="O377" s="66"/>
      <c r="P377" s="66"/>
      <c r="Q377" s="66"/>
      <c r="R377" s="66"/>
      <c r="S377" s="66"/>
      <c r="T377" s="67"/>
      <c r="U377" s="151"/>
      <c r="V377" s="1"/>
      <c r="W377" s="68">
        <f t="shared" si="91"/>
        <v>0</v>
      </c>
      <c r="X377" s="68">
        <f t="shared" si="92"/>
        <v>0</v>
      </c>
      <c r="Y377" s="68">
        <f t="shared" si="93"/>
        <v>0</v>
      </c>
      <c r="Z377" s="68">
        <f t="shared" si="94"/>
        <v>0</v>
      </c>
      <c r="AA377" s="68"/>
      <c r="AB377" s="68">
        <v>0</v>
      </c>
      <c r="AC377" s="69">
        <f t="shared" si="95"/>
        <v>0</v>
      </c>
      <c r="AD377" s="70">
        <v>3525000</v>
      </c>
      <c r="AE377" s="63">
        <v>40357</v>
      </c>
      <c r="AF377" s="72"/>
      <c r="AG377" s="63" t="s">
        <v>954</v>
      </c>
      <c r="AH377" s="23" t="s">
        <v>955</v>
      </c>
      <c r="AI377" s="60"/>
      <c r="AJ377" s="133" t="s">
        <v>1608</v>
      </c>
      <c r="AK377" s="73" t="s">
        <v>1407</v>
      </c>
      <c r="AL377" s="3"/>
      <c r="AM377" s="4"/>
      <c r="AN377" s="5"/>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6"/>
      <c r="CO377" s="7"/>
      <c r="CP377" s="6"/>
      <c r="CQ377" s="7"/>
      <c r="CR377" s="6"/>
      <c r="CS377" s="7"/>
      <c r="CT377" s="8">
        <f t="shared" si="96"/>
        <v>0</v>
      </c>
      <c r="CU377" s="9"/>
      <c r="CV377" s="10"/>
      <c r="CW377" s="11"/>
      <c r="CX377" s="12"/>
      <c r="CY377" s="26"/>
      <c r="CZ377" s="12"/>
      <c r="DA377" s="9"/>
      <c r="DB377" s="10"/>
      <c r="DC377" s="64"/>
      <c r="DD377" s="22">
        <v>1134</v>
      </c>
    </row>
    <row r="378" spans="1:108" ht="60" outlineLevel="2">
      <c r="A378" s="178">
        <v>40368</v>
      </c>
      <c r="B378" s="82" t="s">
        <v>1256</v>
      </c>
      <c r="C378" s="82" t="s">
        <v>1705</v>
      </c>
      <c r="D378" s="165" t="s">
        <v>1262</v>
      </c>
      <c r="E378" s="167"/>
      <c r="F378" s="66"/>
      <c r="G378" s="66"/>
      <c r="H378" s="66">
        <v>600</v>
      </c>
      <c r="I378" s="66">
        <v>120</v>
      </c>
      <c r="J378" s="66"/>
      <c r="K378" s="66">
        <v>120</v>
      </c>
      <c r="L378" s="66"/>
      <c r="M378" s="66"/>
      <c r="N378" s="66"/>
      <c r="O378" s="66"/>
      <c r="P378" s="66"/>
      <c r="Q378" s="66"/>
      <c r="R378" s="66">
        <v>1</v>
      </c>
      <c r="S378" s="66"/>
      <c r="T378" s="67"/>
      <c r="U378" s="151"/>
      <c r="V378" s="1"/>
      <c r="W378" s="68">
        <f t="shared" si="91"/>
        <v>0</v>
      </c>
      <c r="X378" s="68">
        <f t="shared" si="92"/>
        <v>0</v>
      </c>
      <c r="Y378" s="68">
        <f t="shared" si="93"/>
        <v>0</v>
      </c>
      <c r="Z378" s="68">
        <f t="shared" si="94"/>
        <v>0</v>
      </c>
      <c r="AA378" s="68"/>
      <c r="AB378" s="68">
        <v>0</v>
      </c>
      <c r="AC378" s="69">
        <f t="shared" si="95"/>
        <v>0</v>
      </c>
      <c r="AD378" s="70">
        <v>0</v>
      </c>
      <c r="AE378" s="63">
        <v>40371</v>
      </c>
      <c r="AF378" s="72"/>
      <c r="AG378" s="63" t="s">
        <v>954</v>
      </c>
      <c r="AH378" s="23" t="s">
        <v>955</v>
      </c>
      <c r="AI378" s="60"/>
      <c r="AJ378" s="132" t="s">
        <v>1338</v>
      </c>
      <c r="AK378" s="73" t="s">
        <v>1361</v>
      </c>
      <c r="AL378" s="3"/>
      <c r="AM378" s="4"/>
      <c r="AN378" s="5"/>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6"/>
      <c r="CO378" s="7"/>
      <c r="CP378" s="6"/>
      <c r="CQ378" s="7"/>
      <c r="CR378" s="6"/>
      <c r="CS378" s="7"/>
      <c r="CT378" s="8">
        <f t="shared" si="96"/>
        <v>0</v>
      </c>
      <c r="CU378" s="9"/>
      <c r="CV378" s="10"/>
      <c r="CW378" s="11"/>
      <c r="CX378" s="12"/>
      <c r="CY378" s="26"/>
      <c r="CZ378" s="12"/>
      <c r="DA378" s="9"/>
      <c r="DB378" s="10"/>
      <c r="DC378" s="64"/>
    </row>
    <row r="379" spans="1:108" ht="24" outlineLevel="2">
      <c r="A379" s="178">
        <v>40371</v>
      </c>
      <c r="B379" s="82" t="s">
        <v>1256</v>
      </c>
      <c r="C379" s="82" t="s">
        <v>797</v>
      </c>
      <c r="D379" s="165" t="s">
        <v>1262</v>
      </c>
      <c r="E379" s="167"/>
      <c r="F379" s="66"/>
      <c r="G379" s="66"/>
      <c r="H379" s="66">
        <f>138*5</f>
        <v>690</v>
      </c>
      <c r="I379" s="66">
        <v>138</v>
      </c>
      <c r="J379" s="66"/>
      <c r="K379" s="66">
        <v>138</v>
      </c>
      <c r="L379" s="66"/>
      <c r="M379" s="66"/>
      <c r="N379" s="66"/>
      <c r="O379" s="66"/>
      <c r="P379" s="66"/>
      <c r="Q379" s="66"/>
      <c r="R379" s="66"/>
      <c r="S379" s="66"/>
      <c r="T379" s="67"/>
      <c r="U379" s="151"/>
      <c r="V379" s="1"/>
      <c r="W379" s="68">
        <f t="shared" si="91"/>
        <v>0</v>
      </c>
      <c r="X379" s="68">
        <f t="shared" si="92"/>
        <v>0</v>
      </c>
      <c r="Y379" s="68">
        <f t="shared" si="93"/>
        <v>0</v>
      </c>
      <c r="Z379" s="68">
        <f t="shared" si="94"/>
        <v>0</v>
      </c>
      <c r="AA379" s="68"/>
      <c r="AB379" s="68">
        <v>0</v>
      </c>
      <c r="AC379" s="69">
        <f t="shared" si="95"/>
        <v>0</v>
      </c>
      <c r="AD379" s="70">
        <v>0</v>
      </c>
      <c r="AE379" s="63">
        <v>40343</v>
      </c>
      <c r="AF379" s="72"/>
      <c r="AG379" s="63" t="s">
        <v>938</v>
      </c>
      <c r="AH379" s="23" t="s">
        <v>939</v>
      </c>
      <c r="AI379" s="60"/>
      <c r="AJ379" s="133" t="s">
        <v>1608</v>
      </c>
      <c r="AK379" s="73" t="s">
        <v>798</v>
      </c>
      <c r="AL379" s="3"/>
      <c r="AM379" s="4"/>
      <c r="AN379" s="5"/>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6"/>
      <c r="CO379" s="7"/>
      <c r="CP379" s="6"/>
      <c r="CQ379" s="7"/>
      <c r="CR379" s="6"/>
      <c r="CS379" s="7"/>
      <c r="CT379" s="8">
        <f t="shared" si="96"/>
        <v>0</v>
      </c>
      <c r="CU379" s="9"/>
      <c r="CV379" s="10"/>
      <c r="CW379" s="11"/>
      <c r="CX379" s="12"/>
      <c r="CY379" s="26"/>
      <c r="CZ379" s="12"/>
      <c r="DA379" s="9"/>
      <c r="DB379" s="10"/>
      <c r="DC379" s="64"/>
    </row>
    <row r="380" spans="1:108" ht="120" outlineLevel="2">
      <c r="A380" s="178">
        <v>40374</v>
      </c>
      <c r="B380" s="164" t="s">
        <v>1256</v>
      </c>
      <c r="C380" s="164" t="s">
        <v>953</v>
      </c>
      <c r="D380" s="166" t="s">
        <v>1262</v>
      </c>
      <c r="E380" s="163"/>
      <c r="F380" s="105"/>
      <c r="G380" s="105"/>
      <c r="H380" s="105"/>
      <c r="I380" s="105"/>
      <c r="J380" s="105"/>
      <c r="K380" s="105"/>
      <c r="L380" s="105"/>
      <c r="M380" s="105"/>
      <c r="N380" s="105"/>
      <c r="O380" s="105"/>
      <c r="P380" s="105"/>
      <c r="Q380" s="105"/>
      <c r="R380" s="105"/>
      <c r="S380" s="105"/>
      <c r="T380" s="106"/>
      <c r="U380" s="130"/>
      <c r="V380" s="1">
        <v>40480</v>
      </c>
      <c r="W380" s="68">
        <f t="shared" si="91"/>
        <v>76652000</v>
      </c>
      <c r="X380" s="68">
        <f t="shared" si="92"/>
        <v>85000000</v>
      </c>
      <c r="Y380" s="68">
        <f t="shared" si="93"/>
        <v>0</v>
      </c>
      <c r="Z380" s="68">
        <f t="shared" si="94"/>
        <v>0</v>
      </c>
      <c r="AA380" s="68"/>
      <c r="AB380" s="68">
        <v>80000000</v>
      </c>
      <c r="AC380" s="69">
        <f t="shared" si="95"/>
        <v>241652000</v>
      </c>
      <c r="AD380" s="70">
        <v>0</v>
      </c>
      <c r="AE380" s="63">
        <v>40480</v>
      </c>
      <c r="AF380" s="72">
        <v>45198</v>
      </c>
      <c r="AG380" s="63" t="s">
        <v>954</v>
      </c>
      <c r="AH380" s="23" t="s">
        <v>955</v>
      </c>
      <c r="AI380" s="60">
        <v>23125</v>
      </c>
      <c r="AJ380" s="132" t="s">
        <v>1338</v>
      </c>
      <c r="AK380" s="121" t="s">
        <v>318</v>
      </c>
      <c r="AL380" s="107"/>
      <c r="AM380" s="108"/>
      <c r="AN380" s="109"/>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08"/>
      <c r="CM380" s="108"/>
      <c r="CN380" s="110">
        <v>1000</v>
      </c>
      <c r="CO380" s="111">
        <f>1000*36952</f>
        <v>36952000</v>
      </c>
      <c r="CP380" s="110">
        <v>1000</v>
      </c>
      <c r="CQ380" s="111">
        <f>1000*39700</f>
        <v>39700000</v>
      </c>
      <c r="CR380" s="110"/>
      <c r="CS380" s="111"/>
      <c r="CT380" s="112">
        <f t="shared" si="96"/>
        <v>76652000</v>
      </c>
      <c r="CU380" s="113"/>
      <c r="CV380" s="114"/>
      <c r="CW380" s="115">
        <v>1000</v>
      </c>
      <c r="CX380" s="116">
        <f>1000*85000</f>
        <v>85000000</v>
      </c>
      <c r="CY380" s="117"/>
      <c r="CZ380" s="116"/>
      <c r="DA380" s="113"/>
      <c r="DB380" s="114"/>
      <c r="DC380" s="64">
        <v>2</v>
      </c>
      <c r="DD380" s="118"/>
    </row>
    <row r="381" spans="1:108" ht="36" outlineLevel="2">
      <c r="A381" s="178">
        <v>40374</v>
      </c>
      <c r="B381" s="82" t="s">
        <v>1256</v>
      </c>
      <c r="C381" s="82" t="s">
        <v>1203</v>
      </c>
      <c r="D381" s="165" t="s">
        <v>1262</v>
      </c>
      <c r="E381" s="167"/>
      <c r="F381" s="66"/>
      <c r="G381" s="66"/>
      <c r="H381" s="66">
        <f>105*5</f>
        <v>525</v>
      </c>
      <c r="I381" s="66">
        <v>105</v>
      </c>
      <c r="J381" s="66"/>
      <c r="K381" s="66">
        <v>105</v>
      </c>
      <c r="L381" s="66"/>
      <c r="M381" s="66"/>
      <c r="N381" s="66"/>
      <c r="O381" s="66"/>
      <c r="P381" s="66"/>
      <c r="Q381" s="66"/>
      <c r="R381" s="66"/>
      <c r="S381" s="66"/>
      <c r="T381" s="67">
        <v>447</v>
      </c>
      <c r="U381" s="151"/>
      <c r="V381" s="1"/>
      <c r="W381" s="68">
        <f t="shared" si="91"/>
        <v>0</v>
      </c>
      <c r="X381" s="68">
        <f t="shared" si="92"/>
        <v>0</v>
      </c>
      <c r="Y381" s="68">
        <f t="shared" si="93"/>
        <v>0</v>
      </c>
      <c r="Z381" s="68">
        <f t="shared" si="94"/>
        <v>0</v>
      </c>
      <c r="AA381" s="68"/>
      <c r="AB381" s="68">
        <v>0</v>
      </c>
      <c r="AC381" s="69">
        <f t="shared" si="95"/>
        <v>0</v>
      </c>
      <c r="AD381" s="70">
        <v>0</v>
      </c>
      <c r="AE381" s="63">
        <v>40379</v>
      </c>
      <c r="AF381" s="72"/>
      <c r="AG381" s="63" t="s">
        <v>954</v>
      </c>
      <c r="AH381" s="23" t="s">
        <v>955</v>
      </c>
      <c r="AI381" s="60"/>
      <c r="AJ381" s="132" t="s">
        <v>1338</v>
      </c>
      <c r="AK381" s="73" t="s">
        <v>1059</v>
      </c>
      <c r="AL381" s="3"/>
      <c r="AM381" s="4"/>
      <c r="AN381" s="5"/>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6"/>
      <c r="CO381" s="7"/>
      <c r="CP381" s="6"/>
      <c r="CQ381" s="7"/>
      <c r="CR381" s="6"/>
      <c r="CS381" s="7"/>
      <c r="CT381" s="8">
        <f t="shared" si="96"/>
        <v>0</v>
      </c>
      <c r="CU381" s="9"/>
      <c r="CV381" s="10"/>
      <c r="CW381" s="11"/>
      <c r="CX381" s="12"/>
      <c r="CY381" s="26"/>
      <c r="CZ381" s="12"/>
      <c r="DA381" s="9"/>
      <c r="DB381" s="10"/>
      <c r="DC381" s="64"/>
    </row>
    <row r="382" spans="1:108" ht="36" outlineLevel="2">
      <c r="A382" s="178">
        <v>40374</v>
      </c>
      <c r="B382" s="174" t="s">
        <v>1256</v>
      </c>
      <c r="C382" s="174" t="s">
        <v>1204</v>
      </c>
      <c r="D382" s="179" t="s">
        <v>1262</v>
      </c>
      <c r="E382" s="163"/>
      <c r="F382" s="105"/>
      <c r="G382" s="105"/>
      <c r="H382" s="105">
        <f>145*5</f>
        <v>725</v>
      </c>
      <c r="I382" s="105">
        <v>145</v>
      </c>
      <c r="J382" s="105"/>
      <c r="K382" s="105">
        <v>145</v>
      </c>
      <c r="L382" s="105"/>
      <c r="M382" s="105"/>
      <c r="N382" s="105"/>
      <c r="O382" s="105"/>
      <c r="P382" s="105"/>
      <c r="Q382" s="105"/>
      <c r="R382" s="105"/>
      <c r="S382" s="105"/>
      <c r="T382" s="106"/>
      <c r="U382" s="130"/>
      <c r="V382" s="1"/>
      <c r="W382" s="68">
        <f t="shared" si="91"/>
        <v>0</v>
      </c>
      <c r="X382" s="68">
        <f t="shared" si="92"/>
        <v>0</v>
      </c>
      <c r="Y382" s="68">
        <f t="shared" si="93"/>
        <v>0</v>
      </c>
      <c r="Z382" s="68">
        <f t="shared" si="94"/>
        <v>0</v>
      </c>
      <c r="AA382" s="68"/>
      <c r="AB382" s="68">
        <v>0</v>
      </c>
      <c r="AC382" s="69">
        <f t="shared" si="95"/>
        <v>0</v>
      </c>
      <c r="AD382" s="70">
        <v>0</v>
      </c>
      <c r="AE382" s="63">
        <v>40441</v>
      </c>
      <c r="AF382" s="72"/>
      <c r="AG382" s="63" t="s">
        <v>954</v>
      </c>
      <c r="AH382" s="23" t="s">
        <v>955</v>
      </c>
      <c r="AI382" s="60"/>
      <c r="AJ382" s="132" t="s">
        <v>1338</v>
      </c>
      <c r="AK382" s="121" t="s">
        <v>1121</v>
      </c>
      <c r="AL382" s="107"/>
      <c r="AM382" s="108"/>
      <c r="AN382" s="109"/>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08"/>
      <c r="CM382" s="108"/>
      <c r="CN382" s="110"/>
      <c r="CO382" s="111"/>
      <c r="CP382" s="110"/>
      <c r="CQ382" s="111"/>
      <c r="CR382" s="110"/>
      <c r="CS382" s="111"/>
      <c r="CT382" s="112">
        <f t="shared" si="96"/>
        <v>0</v>
      </c>
      <c r="CU382" s="113"/>
      <c r="CV382" s="114"/>
      <c r="CW382" s="115"/>
      <c r="CX382" s="116"/>
      <c r="CY382" s="117"/>
      <c r="CZ382" s="116"/>
      <c r="DA382" s="113"/>
      <c r="DB382" s="114"/>
      <c r="DC382" s="64"/>
      <c r="DD382" s="118"/>
    </row>
    <row r="383" spans="1:108" ht="60" outlineLevel="2">
      <c r="A383" s="178">
        <v>40374</v>
      </c>
      <c r="B383" s="82" t="s">
        <v>1256</v>
      </c>
      <c r="C383" s="82" t="s">
        <v>1491</v>
      </c>
      <c r="D383" s="165" t="s">
        <v>1262</v>
      </c>
      <c r="E383" s="167"/>
      <c r="F383" s="66"/>
      <c r="G383" s="66"/>
      <c r="H383" s="66"/>
      <c r="I383" s="66"/>
      <c r="J383" s="66"/>
      <c r="K383" s="66"/>
      <c r="L383" s="66"/>
      <c r="M383" s="66"/>
      <c r="N383" s="66"/>
      <c r="O383" s="66"/>
      <c r="P383" s="66"/>
      <c r="Q383" s="66"/>
      <c r="R383" s="66"/>
      <c r="S383" s="66"/>
      <c r="T383" s="67"/>
      <c r="U383" s="151"/>
      <c r="V383" s="1">
        <v>40392</v>
      </c>
      <c r="W383" s="68">
        <f t="shared" si="91"/>
        <v>0</v>
      </c>
      <c r="X383" s="68">
        <f t="shared" si="92"/>
        <v>0</v>
      </c>
      <c r="Y383" s="68">
        <f t="shared" si="93"/>
        <v>0</v>
      </c>
      <c r="Z383" s="68">
        <f t="shared" si="94"/>
        <v>27898000</v>
      </c>
      <c r="AA383" s="68">
        <v>54380800</v>
      </c>
      <c r="AB383" s="68">
        <v>0</v>
      </c>
      <c r="AC383" s="69">
        <f t="shared" si="95"/>
        <v>82278800</v>
      </c>
      <c r="AD383" s="70">
        <v>0</v>
      </c>
      <c r="AE383" s="63">
        <v>40392</v>
      </c>
      <c r="AF383" s="72">
        <v>38281</v>
      </c>
      <c r="AG383" s="63" t="s">
        <v>954</v>
      </c>
      <c r="AH383" s="23" t="s">
        <v>955</v>
      </c>
      <c r="AI383" s="75" t="s">
        <v>2234</v>
      </c>
      <c r="AJ383" s="133" t="s">
        <v>976</v>
      </c>
      <c r="AK383" s="73" t="s">
        <v>2059</v>
      </c>
      <c r="AL383" s="3"/>
      <c r="AM383" s="4"/>
      <c r="AN383" s="5"/>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6"/>
      <c r="CO383" s="7"/>
      <c r="CP383" s="6"/>
      <c r="CQ383" s="7"/>
      <c r="CR383" s="6"/>
      <c r="CS383" s="7"/>
      <c r="CT383" s="8">
        <f t="shared" si="96"/>
        <v>0</v>
      </c>
      <c r="CU383" s="9">
        <f>10000+10000+10000</f>
        <v>30000</v>
      </c>
      <c r="CV383" s="10">
        <f>10000*899+10000*986+10000*904.8</f>
        <v>27898000</v>
      </c>
      <c r="CW383" s="11"/>
      <c r="CX383" s="12"/>
      <c r="CY383" s="26"/>
      <c r="CZ383" s="12"/>
      <c r="DA383" s="9"/>
      <c r="DB383" s="10"/>
      <c r="DC383" s="64"/>
    </row>
    <row r="384" spans="1:108" ht="36" outlineLevel="2">
      <c r="A384" s="178">
        <v>40374</v>
      </c>
      <c r="B384" s="174" t="s">
        <v>1256</v>
      </c>
      <c r="C384" s="174" t="s">
        <v>1215</v>
      </c>
      <c r="D384" s="179" t="s">
        <v>1262</v>
      </c>
      <c r="E384" s="163"/>
      <c r="F384" s="105"/>
      <c r="G384" s="105"/>
      <c r="H384" s="105">
        <f>35*5</f>
        <v>175</v>
      </c>
      <c r="I384" s="105">
        <v>35</v>
      </c>
      <c r="J384" s="105"/>
      <c r="K384" s="105"/>
      <c r="L384" s="105"/>
      <c r="M384" s="105"/>
      <c r="N384" s="105"/>
      <c r="O384" s="105"/>
      <c r="P384" s="105"/>
      <c r="Q384" s="105"/>
      <c r="R384" s="105"/>
      <c r="S384" s="105"/>
      <c r="T384" s="106">
        <v>90</v>
      </c>
      <c r="U384" s="130"/>
      <c r="V384" s="1"/>
      <c r="W384" s="68">
        <f t="shared" si="91"/>
        <v>0</v>
      </c>
      <c r="X384" s="68">
        <f t="shared" si="92"/>
        <v>0</v>
      </c>
      <c r="Y384" s="68">
        <f t="shared" si="93"/>
        <v>0</v>
      </c>
      <c r="Z384" s="68">
        <f t="shared" si="94"/>
        <v>0</v>
      </c>
      <c r="AA384" s="68"/>
      <c r="AB384" s="68">
        <v>0</v>
      </c>
      <c r="AC384" s="69">
        <f t="shared" si="95"/>
        <v>0</v>
      </c>
      <c r="AD384" s="70">
        <v>0</v>
      </c>
      <c r="AE384" s="63">
        <v>40441</v>
      </c>
      <c r="AF384" s="72"/>
      <c r="AG384" s="63" t="s">
        <v>954</v>
      </c>
      <c r="AH384" s="23" t="s">
        <v>955</v>
      </c>
      <c r="AI384" s="60"/>
      <c r="AJ384" s="132" t="s">
        <v>1338</v>
      </c>
      <c r="AK384" s="121" t="s">
        <v>1117</v>
      </c>
      <c r="AL384" s="107"/>
      <c r="AM384" s="108"/>
      <c r="AN384" s="109"/>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08"/>
      <c r="CM384" s="108"/>
      <c r="CN384" s="110"/>
      <c r="CO384" s="111"/>
      <c r="CP384" s="110"/>
      <c r="CQ384" s="111"/>
      <c r="CR384" s="110"/>
      <c r="CS384" s="111"/>
      <c r="CT384" s="112">
        <f t="shared" si="96"/>
        <v>0</v>
      </c>
      <c r="CU384" s="113"/>
      <c r="CV384" s="114"/>
      <c r="CW384" s="115"/>
      <c r="CX384" s="116"/>
      <c r="CY384" s="117"/>
      <c r="CZ384" s="116"/>
      <c r="DA384" s="113"/>
      <c r="DB384" s="114"/>
      <c r="DC384" s="64"/>
      <c r="DD384" s="118"/>
    </row>
    <row r="385" spans="1:108" ht="24" outlineLevel="2">
      <c r="A385" s="178">
        <v>40374</v>
      </c>
      <c r="B385" s="174" t="s">
        <v>1256</v>
      </c>
      <c r="C385" s="174" t="s">
        <v>1115</v>
      </c>
      <c r="D385" s="179" t="s">
        <v>1262</v>
      </c>
      <c r="E385" s="163"/>
      <c r="F385" s="105"/>
      <c r="G385" s="105"/>
      <c r="H385" s="105">
        <f>200*5</f>
        <v>1000</v>
      </c>
      <c r="I385" s="105">
        <v>200</v>
      </c>
      <c r="J385" s="105"/>
      <c r="K385" s="105"/>
      <c r="L385" s="105"/>
      <c r="M385" s="105"/>
      <c r="N385" s="105"/>
      <c r="O385" s="105"/>
      <c r="P385" s="105"/>
      <c r="Q385" s="105"/>
      <c r="R385" s="105"/>
      <c r="S385" s="105"/>
      <c r="T385" s="106">
        <v>20</v>
      </c>
      <c r="U385" s="130"/>
      <c r="V385" s="1"/>
      <c r="W385" s="68">
        <f t="shared" si="91"/>
        <v>0</v>
      </c>
      <c r="X385" s="68">
        <f t="shared" si="92"/>
        <v>0</v>
      </c>
      <c r="Y385" s="68">
        <f t="shared" si="93"/>
        <v>0</v>
      </c>
      <c r="Z385" s="68">
        <f t="shared" si="94"/>
        <v>0</v>
      </c>
      <c r="AA385" s="68"/>
      <c r="AB385" s="68">
        <v>0</v>
      </c>
      <c r="AC385" s="69">
        <f t="shared" si="95"/>
        <v>0</v>
      </c>
      <c r="AD385" s="70">
        <v>0</v>
      </c>
      <c r="AE385" s="63">
        <v>40441</v>
      </c>
      <c r="AF385" s="72"/>
      <c r="AG385" s="63" t="s">
        <v>954</v>
      </c>
      <c r="AH385" s="23" t="s">
        <v>955</v>
      </c>
      <c r="AI385" s="60"/>
      <c r="AJ385" s="132" t="s">
        <v>1338</v>
      </c>
      <c r="AK385" s="121" t="s">
        <v>1116</v>
      </c>
      <c r="AL385" s="107"/>
      <c r="AM385" s="108"/>
      <c r="AN385" s="109"/>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08"/>
      <c r="CM385" s="108"/>
      <c r="CN385" s="110"/>
      <c r="CO385" s="111"/>
      <c r="CP385" s="110"/>
      <c r="CQ385" s="111"/>
      <c r="CR385" s="110"/>
      <c r="CS385" s="111"/>
      <c r="CT385" s="112">
        <f t="shared" si="96"/>
        <v>0</v>
      </c>
      <c r="CU385" s="113"/>
      <c r="CV385" s="114"/>
      <c r="CW385" s="115"/>
      <c r="CX385" s="116"/>
      <c r="CY385" s="117"/>
      <c r="CZ385" s="116"/>
      <c r="DA385" s="113"/>
      <c r="DB385" s="114"/>
      <c r="DC385" s="64"/>
      <c r="DD385" s="118"/>
    </row>
    <row r="386" spans="1:108" ht="36" outlineLevel="2">
      <c r="A386" s="178">
        <v>40375</v>
      </c>
      <c r="B386" s="82" t="s">
        <v>1256</v>
      </c>
      <c r="C386" s="82" t="s">
        <v>1279</v>
      </c>
      <c r="D386" s="165" t="s">
        <v>1182</v>
      </c>
      <c r="E386" s="167">
        <v>1</v>
      </c>
      <c r="F386" s="66"/>
      <c r="G386" s="66"/>
      <c r="H386" s="66"/>
      <c r="I386" s="66"/>
      <c r="J386" s="66"/>
      <c r="K386" s="66"/>
      <c r="L386" s="66"/>
      <c r="M386" s="66"/>
      <c r="N386" s="66"/>
      <c r="O386" s="66"/>
      <c r="P386" s="66"/>
      <c r="Q386" s="66"/>
      <c r="R386" s="66"/>
      <c r="S386" s="66"/>
      <c r="T386" s="67"/>
      <c r="U386" s="151"/>
      <c r="V386" s="1"/>
      <c r="W386" s="68">
        <f t="shared" si="91"/>
        <v>0</v>
      </c>
      <c r="X386" s="68">
        <f t="shared" si="92"/>
        <v>0</v>
      </c>
      <c r="Y386" s="68">
        <f t="shared" si="93"/>
        <v>0</v>
      </c>
      <c r="Z386" s="68">
        <f t="shared" si="94"/>
        <v>0</v>
      </c>
      <c r="AA386" s="68"/>
      <c r="AB386" s="68">
        <v>0</v>
      </c>
      <c r="AC386" s="69">
        <f t="shared" si="95"/>
        <v>0</v>
      </c>
      <c r="AD386" s="70">
        <v>0</v>
      </c>
      <c r="AE386" s="63">
        <v>40377</v>
      </c>
      <c r="AF386" s="72"/>
      <c r="AG386" s="63" t="s">
        <v>954</v>
      </c>
      <c r="AH386" s="23" t="s">
        <v>955</v>
      </c>
      <c r="AI386" s="60"/>
      <c r="AJ386" s="132" t="s">
        <v>1338</v>
      </c>
      <c r="AK386" s="73" t="s">
        <v>1280</v>
      </c>
      <c r="AL386" s="3"/>
      <c r="AM386" s="4"/>
      <c r="AN386" s="5"/>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6"/>
      <c r="CO386" s="7"/>
      <c r="CP386" s="6"/>
      <c r="CQ386" s="7"/>
      <c r="CR386" s="6"/>
      <c r="CS386" s="7"/>
      <c r="CT386" s="8">
        <f t="shared" si="96"/>
        <v>0</v>
      </c>
      <c r="CU386" s="9"/>
      <c r="CV386" s="10"/>
      <c r="CW386" s="11"/>
      <c r="CX386" s="12"/>
      <c r="CY386" s="26"/>
      <c r="CZ386" s="12"/>
      <c r="DA386" s="9"/>
      <c r="DB386" s="10"/>
      <c r="DC386" s="64"/>
      <c r="DD386" s="22">
        <v>1166</v>
      </c>
    </row>
    <row r="387" spans="1:108" ht="22.5" outlineLevel="2">
      <c r="A387" s="178">
        <v>40375</v>
      </c>
      <c r="B387" s="82" t="s">
        <v>1256</v>
      </c>
      <c r="C387" s="82" t="s">
        <v>1602</v>
      </c>
      <c r="D387" s="165" t="s">
        <v>944</v>
      </c>
      <c r="E387" s="167">
        <v>1</v>
      </c>
      <c r="F387" s="66"/>
      <c r="G387" s="66"/>
      <c r="H387" s="66"/>
      <c r="I387" s="66"/>
      <c r="J387" s="66"/>
      <c r="K387" s="66"/>
      <c r="L387" s="66"/>
      <c r="M387" s="66"/>
      <c r="N387" s="66"/>
      <c r="O387" s="66"/>
      <c r="P387" s="66"/>
      <c r="Q387" s="66"/>
      <c r="R387" s="66"/>
      <c r="S387" s="66"/>
      <c r="T387" s="67"/>
      <c r="U387" s="151"/>
      <c r="V387" s="1"/>
      <c r="W387" s="68">
        <f t="shared" si="91"/>
        <v>0</v>
      </c>
      <c r="X387" s="68">
        <f t="shared" si="92"/>
        <v>0</v>
      </c>
      <c r="Y387" s="68">
        <f t="shared" si="93"/>
        <v>0</v>
      </c>
      <c r="Z387" s="68">
        <f t="shared" si="94"/>
        <v>0</v>
      </c>
      <c r="AA387" s="68"/>
      <c r="AB387" s="68">
        <v>0</v>
      </c>
      <c r="AC387" s="69">
        <f t="shared" si="95"/>
        <v>0</v>
      </c>
      <c r="AD387" s="70">
        <v>0</v>
      </c>
      <c r="AE387" s="63">
        <v>40378</v>
      </c>
      <c r="AF387" s="72"/>
      <c r="AG387" s="63" t="s">
        <v>938</v>
      </c>
      <c r="AH387" s="23" t="s">
        <v>939</v>
      </c>
      <c r="AI387" s="60"/>
      <c r="AJ387" s="133" t="s">
        <v>1608</v>
      </c>
      <c r="AK387" s="73" t="s">
        <v>1603</v>
      </c>
      <c r="AL387" s="3"/>
      <c r="AM387" s="4"/>
      <c r="AN387" s="5"/>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6"/>
      <c r="CO387" s="7"/>
      <c r="CP387" s="6"/>
      <c r="CQ387" s="7"/>
      <c r="CR387" s="6"/>
      <c r="CS387" s="7"/>
      <c r="CT387" s="8">
        <f t="shared" si="96"/>
        <v>0</v>
      </c>
      <c r="CU387" s="9"/>
      <c r="CV387" s="10"/>
      <c r="CW387" s="11"/>
      <c r="CX387" s="12"/>
      <c r="CY387" s="26"/>
      <c r="CZ387" s="12"/>
      <c r="DA387" s="9"/>
      <c r="DB387" s="10"/>
      <c r="DC387" s="64"/>
    </row>
    <row r="388" spans="1:108" ht="36" outlineLevel="2">
      <c r="A388" s="178">
        <v>40375</v>
      </c>
      <c r="B388" s="174" t="s">
        <v>1256</v>
      </c>
      <c r="C388" s="164" t="s">
        <v>1873</v>
      </c>
      <c r="D388" s="179" t="s">
        <v>1262</v>
      </c>
      <c r="E388" s="163"/>
      <c r="F388" s="105"/>
      <c r="G388" s="105"/>
      <c r="H388" s="105"/>
      <c r="I388" s="105"/>
      <c r="J388" s="105"/>
      <c r="K388" s="105"/>
      <c r="L388" s="105"/>
      <c r="M388" s="105"/>
      <c r="N388" s="105"/>
      <c r="O388" s="105"/>
      <c r="P388" s="105"/>
      <c r="Q388" s="105"/>
      <c r="R388" s="105"/>
      <c r="S388" s="105"/>
      <c r="T388" s="106">
        <v>250</v>
      </c>
      <c r="U388" s="130"/>
      <c r="V388" s="1"/>
      <c r="W388" s="68">
        <f t="shared" ref="W388:W419" si="97">CT388</f>
        <v>0</v>
      </c>
      <c r="X388" s="68">
        <f t="shared" ref="X388:X419" si="98">CX388</f>
        <v>0</v>
      </c>
      <c r="Y388" s="68">
        <f t="shared" ref="Y388:Y419" si="99">CZ388+DB388</f>
        <v>0</v>
      </c>
      <c r="Z388" s="68">
        <f t="shared" ref="Z388:Z419" si="100">CV388</f>
        <v>0</v>
      </c>
      <c r="AA388" s="68"/>
      <c r="AB388" s="68">
        <v>0</v>
      </c>
      <c r="AC388" s="69">
        <f t="shared" ref="AC388:AC419" si="101">W388+X388+Y388+Z388+AA388+AB388</f>
        <v>0</v>
      </c>
      <c r="AD388" s="70">
        <v>0</v>
      </c>
      <c r="AE388" s="63">
        <v>40441</v>
      </c>
      <c r="AF388" s="72"/>
      <c r="AG388" s="63" t="s">
        <v>938</v>
      </c>
      <c r="AH388" s="23" t="s">
        <v>939</v>
      </c>
      <c r="AI388" s="60"/>
      <c r="AJ388" s="124" t="s">
        <v>1608</v>
      </c>
      <c r="AK388" s="121" t="s">
        <v>1120</v>
      </c>
      <c r="AL388" s="107"/>
      <c r="AM388" s="108"/>
      <c r="AN388" s="109"/>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08"/>
      <c r="CM388" s="108"/>
      <c r="CN388" s="110"/>
      <c r="CO388" s="111"/>
      <c r="CP388" s="110"/>
      <c r="CQ388" s="111"/>
      <c r="CR388" s="110"/>
      <c r="CS388" s="111"/>
      <c r="CT388" s="112">
        <f t="shared" ref="CT388:CT419" si="102">AM388+AO388+AQ388+AS388+AU388+AW388+AY388+BA388+BC388+BE388+BG388+BI388+BK388+BM388+BO388+BQ388+BS388+BU388+BW388+BY388+CA388+CC388+CE388+CG388+CI388+CK388+CM388+CO388+CQ388+CS388</f>
        <v>0</v>
      </c>
      <c r="CU388" s="113"/>
      <c r="CV388" s="114"/>
      <c r="CW388" s="115"/>
      <c r="CX388" s="116"/>
      <c r="CY388" s="117"/>
      <c r="CZ388" s="116"/>
      <c r="DA388" s="113"/>
      <c r="DB388" s="114"/>
      <c r="DC388" s="64"/>
      <c r="DD388" s="118"/>
    </row>
    <row r="389" spans="1:108" ht="24" outlineLevel="2">
      <c r="A389" s="178">
        <v>40376</v>
      </c>
      <c r="B389" s="82" t="s">
        <v>1256</v>
      </c>
      <c r="C389" s="82" t="s">
        <v>1211</v>
      </c>
      <c r="D389" s="165" t="s">
        <v>1262</v>
      </c>
      <c r="E389" s="167"/>
      <c r="F389" s="66"/>
      <c r="G389" s="66"/>
      <c r="H389" s="66">
        <f>112*5</f>
        <v>560</v>
      </c>
      <c r="I389" s="66">
        <v>112</v>
      </c>
      <c r="J389" s="66"/>
      <c r="K389" s="66">
        <v>112</v>
      </c>
      <c r="L389" s="66"/>
      <c r="M389" s="66"/>
      <c r="N389" s="66"/>
      <c r="O389" s="66"/>
      <c r="P389" s="66"/>
      <c r="Q389" s="66"/>
      <c r="R389" s="66"/>
      <c r="S389" s="66"/>
      <c r="T389" s="67">
        <v>427</v>
      </c>
      <c r="U389" s="151"/>
      <c r="V389" s="1"/>
      <c r="W389" s="68">
        <f t="shared" si="97"/>
        <v>0</v>
      </c>
      <c r="X389" s="68">
        <f t="shared" si="98"/>
        <v>0</v>
      </c>
      <c r="Y389" s="68">
        <f t="shared" si="99"/>
        <v>0</v>
      </c>
      <c r="Z389" s="68">
        <f t="shared" si="100"/>
        <v>0</v>
      </c>
      <c r="AA389" s="68"/>
      <c r="AB389" s="68">
        <v>0</v>
      </c>
      <c r="AC389" s="69">
        <f t="shared" si="101"/>
        <v>0</v>
      </c>
      <c r="AD389" s="70">
        <v>0</v>
      </c>
      <c r="AE389" s="63">
        <v>40377</v>
      </c>
      <c r="AF389" s="72"/>
      <c r="AG389" s="63" t="s">
        <v>954</v>
      </c>
      <c r="AH389" s="23" t="s">
        <v>955</v>
      </c>
      <c r="AI389" s="60"/>
      <c r="AJ389" s="132" t="s">
        <v>1338</v>
      </c>
      <c r="AK389" s="73" t="s">
        <v>1600</v>
      </c>
      <c r="AL389" s="3"/>
      <c r="AM389" s="4"/>
      <c r="AN389" s="5"/>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6"/>
      <c r="CO389" s="7"/>
      <c r="CP389" s="6"/>
      <c r="CQ389" s="7"/>
      <c r="CR389" s="6"/>
      <c r="CS389" s="7"/>
      <c r="CT389" s="8">
        <f t="shared" si="102"/>
        <v>0</v>
      </c>
      <c r="CU389" s="9"/>
      <c r="CV389" s="10"/>
      <c r="CW389" s="11"/>
      <c r="CX389" s="12"/>
      <c r="CY389" s="26"/>
      <c r="CZ389" s="12"/>
      <c r="DA389" s="9"/>
      <c r="DB389" s="10"/>
      <c r="DC389" s="64"/>
    </row>
    <row r="390" spans="1:108" ht="36" outlineLevel="2">
      <c r="A390" s="178">
        <v>40377</v>
      </c>
      <c r="B390" s="82" t="s">
        <v>1256</v>
      </c>
      <c r="C390" s="82" t="s">
        <v>2385</v>
      </c>
      <c r="D390" s="165" t="s">
        <v>1262</v>
      </c>
      <c r="E390" s="167"/>
      <c r="F390" s="66"/>
      <c r="G390" s="66"/>
      <c r="H390" s="66">
        <f>235*5</f>
        <v>1175</v>
      </c>
      <c r="I390" s="66">
        <v>235</v>
      </c>
      <c r="J390" s="66"/>
      <c r="K390" s="66">
        <v>235</v>
      </c>
      <c r="L390" s="66"/>
      <c r="M390" s="66"/>
      <c r="N390" s="66"/>
      <c r="O390" s="66"/>
      <c r="P390" s="66"/>
      <c r="Q390" s="66"/>
      <c r="R390" s="66"/>
      <c r="S390" s="66"/>
      <c r="T390" s="67"/>
      <c r="U390" s="151"/>
      <c r="V390" s="1"/>
      <c r="W390" s="68">
        <f t="shared" si="97"/>
        <v>0</v>
      </c>
      <c r="X390" s="68">
        <f t="shared" si="98"/>
        <v>0</v>
      </c>
      <c r="Y390" s="68">
        <f t="shared" si="99"/>
        <v>0</v>
      </c>
      <c r="Z390" s="68">
        <f t="shared" si="100"/>
        <v>0</v>
      </c>
      <c r="AA390" s="68"/>
      <c r="AB390" s="68">
        <v>0</v>
      </c>
      <c r="AC390" s="69">
        <f t="shared" si="101"/>
        <v>0</v>
      </c>
      <c r="AD390" s="70">
        <v>0</v>
      </c>
      <c r="AE390" s="63">
        <v>40379</v>
      </c>
      <c r="AF390" s="72"/>
      <c r="AG390" s="63" t="s">
        <v>954</v>
      </c>
      <c r="AH390" s="23" t="s">
        <v>955</v>
      </c>
      <c r="AI390" s="60"/>
      <c r="AJ390" s="132" t="s">
        <v>1338</v>
      </c>
      <c r="AK390" s="73" t="s">
        <v>1058</v>
      </c>
      <c r="AL390" s="3"/>
      <c r="AM390" s="4"/>
      <c r="AN390" s="5"/>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6"/>
      <c r="CO390" s="7"/>
      <c r="CP390" s="6"/>
      <c r="CQ390" s="7"/>
      <c r="CR390" s="6"/>
      <c r="CS390" s="7"/>
      <c r="CT390" s="8">
        <f t="shared" si="102"/>
        <v>0</v>
      </c>
      <c r="CU390" s="9"/>
      <c r="CV390" s="10"/>
      <c r="CW390" s="11"/>
      <c r="CX390" s="12"/>
      <c r="CY390" s="26"/>
      <c r="CZ390" s="12"/>
      <c r="DA390" s="9"/>
      <c r="DB390" s="10"/>
      <c r="DC390" s="64"/>
    </row>
    <row r="391" spans="1:108" ht="24" outlineLevel="2">
      <c r="A391" s="178">
        <v>40385</v>
      </c>
      <c r="B391" s="82" t="s">
        <v>1256</v>
      </c>
      <c r="C391" s="82" t="s">
        <v>1433</v>
      </c>
      <c r="D391" s="165" t="s">
        <v>1182</v>
      </c>
      <c r="E391" s="167"/>
      <c r="F391" s="66"/>
      <c r="G391" s="66"/>
      <c r="H391" s="66">
        <v>30</v>
      </c>
      <c r="I391" s="66">
        <v>6</v>
      </c>
      <c r="J391" s="66"/>
      <c r="K391" s="66">
        <v>6</v>
      </c>
      <c r="L391" s="66"/>
      <c r="M391" s="66"/>
      <c r="N391" s="66"/>
      <c r="O391" s="66"/>
      <c r="P391" s="66"/>
      <c r="Q391" s="66"/>
      <c r="R391" s="66"/>
      <c r="S391" s="66"/>
      <c r="T391" s="67"/>
      <c r="U391" s="151"/>
      <c r="V391" s="1"/>
      <c r="W391" s="68">
        <f t="shared" si="97"/>
        <v>0</v>
      </c>
      <c r="X391" s="68">
        <f t="shared" si="98"/>
        <v>0</v>
      </c>
      <c r="Y391" s="68">
        <f t="shared" si="99"/>
        <v>0</v>
      </c>
      <c r="Z391" s="68">
        <f t="shared" si="100"/>
        <v>0</v>
      </c>
      <c r="AA391" s="68"/>
      <c r="AB391" s="68">
        <v>0</v>
      </c>
      <c r="AC391" s="69">
        <f t="shared" si="101"/>
        <v>0</v>
      </c>
      <c r="AD391" s="70">
        <v>0</v>
      </c>
      <c r="AE391" s="63">
        <v>40387</v>
      </c>
      <c r="AF391" s="72"/>
      <c r="AG391" s="63" t="s">
        <v>938</v>
      </c>
      <c r="AH391" s="23" t="s">
        <v>939</v>
      </c>
      <c r="AI391" s="60"/>
      <c r="AJ391" s="133" t="s">
        <v>1608</v>
      </c>
      <c r="AK391" s="73" t="s">
        <v>1171</v>
      </c>
      <c r="AL391" s="3"/>
      <c r="AM391" s="4"/>
      <c r="AN391" s="5"/>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6"/>
      <c r="CO391" s="7"/>
      <c r="CP391" s="6"/>
      <c r="CQ391" s="7"/>
      <c r="CR391" s="6"/>
      <c r="CS391" s="7"/>
      <c r="CT391" s="8">
        <f t="shared" si="102"/>
        <v>0</v>
      </c>
      <c r="CU391" s="9"/>
      <c r="CV391" s="10"/>
      <c r="CW391" s="11"/>
      <c r="CX391" s="12"/>
      <c r="CY391" s="26"/>
      <c r="CZ391" s="12"/>
      <c r="DA391" s="9"/>
      <c r="DB391" s="10"/>
      <c r="DC391" s="64"/>
    </row>
    <row r="392" spans="1:108" ht="45" outlineLevel="2">
      <c r="A392" s="178">
        <v>40388</v>
      </c>
      <c r="B392" s="82" t="s">
        <v>1256</v>
      </c>
      <c r="C392" s="82" t="s">
        <v>1212</v>
      </c>
      <c r="D392" s="165" t="s">
        <v>1262</v>
      </c>
      <c r="E392" s="167"/>
      <c r="F392" s="66"/>
      <c r="G392" s="66"/>
      <c r="H392" s="66">
        <v>390</v>
      </c>
      <c r="I392" s="66">
        <v>78</v>
      </c>
      <c r="J392" s="66"/>
      <c r="K392" s="66">
        <v>60</v>
      </c>
      <c r="L392" s="66"/>
      <c r="M392" s="66"/>
      <c r="N392" s="66"/>
      <c r="O392" s="66"/>
      <c r="P392" s="66"/>
      <c r="Q392" s="66"/>
      <c r="R392" s="66"/>
      <c r="S392" s="66"/>
      <c r="T392" s="67"/>
      <c r="U392" s="151"/>
      <c r="V392" s="1">
        <v>40410</v>
      </c>
      <c r="W392" s="68">
        <f t="shared" si="97"/>
        <v>14590400</v>
      </c>
      <c r="X392" s="68">
        <f t="shared" si="98"/>
        <v>17000000</v>
      </c>
      <c r="Y392" s="68">
        <f t="shared" si="99"/>
        <v>0</v>
      </c>
      <c r="Z392" s="68">
        <f t="shared" si="100"/>
        <v>0</v>
      </c>
      <c r="AA392" s="68"/>
      <c r="AB392" s="68">
        <v>0</v>
      </c>
      <c r="AC392" s="69">
        <f t="shared" si="101"/>
        <v>31590400</v>
      </c>
      <c r="AD392" s="70">
        <v>0</v>
      </c>
      <c r="AE392" s="63">
        <v>40390</v>
      </c>
      <c r="AF392" s="72">
        <v>41700</v>
      </c>
      <c r="AG392" s="63" t="s">
        <v>954</v>
      </c>
      <c r="AH392" s="23" t="s">
        <v>955</v>
      </c>
      <c r="AI392" s="60">
        <v>252</v>
      </c>
      <c r="AJ392" s="133" t="s">
        <v>415</v>
      </c>
      <c r="AK392" s="73" t="s">
        <v>1975</v>
      </c>
      <c r="AL392" s="3"/>
      <c r="AM392" s="4"/>
      <c r="AN392" s="5"/>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6">
        <v>200</v>
      </c>
      <c r="CO392" s="7">
        <f>200*36952</f>
        <v>7390400</v>
      </c>
      <c r="CP392" s="6">
        <v>200</v>
      </c>
      <c r="CQ392" s="7">
        <f>200*36000</f>
        <v>7200000</v>
      </c>
      <c r="CR392" s="6"/>
      <c r="CS392" s="7"/>
      <c r="CT392" s="8">
        <f t="shared" si="102"/>
        <v>14590400</v>
      </c>
      <c r="CU392" s="9"/>
      <c r="CV392" s="10"/>
      <c r="CW392" s="11">
        <v>200</v>
      </c>
      <c r="CX392" s="12">
        <f>200*85000</f>
        <v>17000000</v>
      </c>
      <c r="CY392" s="26"/>
      <c r="CZ392" s="12"/>
      <c r="DA392" s="9"/>
      <c r="DB392" s="10"/>
      <c r="DC392" s="64"/>
    </row>
    <row r="393" spans="1:108" ht="24" outlineLevel="2">
      <c r="A393" s="178">
        <v>40395</v>
      </c>
      <c r="B393" s="174" t="s">
        <v>1256</v>
      </c>
      <c r="C393" s="174" t="s">
        <v>1279</v>
      </c>
      <c r="D393" s="179" t="s">
        <v>435</v>
      </c>
      <c r="E393" s="163"/>
      <c r="F393" s="105"/>
      <c r="G393" s="105"/>
      <c r="H393" s="105">
        <f>105*5</f>
        <v>525</v>
      </c>
      <c r="I393" s="105">
        <v>105</v>
      </c>
      <c r="J393" s="105"/>
      <c r="K393" s="105">
        <v>105</v>
      </c>
      <c r="L393" s="105"/>
      <c r="M393" s="105"/>
      <c r="N393" s="105"/>
      <c r="O393" s="105"/>
      <c r="P393" s="105"/>
      <c r="Q393" s="105"/>
      <c r="R393" s="105"/>
      <c r="S393" s="105"/>
      <c r="T393" s="106"/>
      <c r="U393" s="130"/>
      <c r="V393" s="1"/>
      <c r="W393" s="68">
        <f t="shared" si="97"/>
        <v>0</v>
      </c>
      <c r="X393" s="68">
        <f t="shared" si="98"/>
        <v>0</v>
      </c>
      <c r="Y393" s="68">
        <f t="shared" si="99"/>
        <v>0</v>
      </c>
      <c r="Z393" s="68">
        <f t="shared" si="100"/>
        <v>0</v>
      </c>
      <c r="AA393" s="68"/>
      <c r="AB393" s="68">
        <v>0</v>
      </c>
      <c r="AC393" s="69">
        <f t="shared" si="101"/>
        <v>0</v>
      </c>
      <c r="AD393" s="70">
        <v>21157500</v>
      </c>
      <c r="AE393" s="63">
        <v>40441</v>
      </c>
      <c r="AF393" s="72"/>
      <c r="AG393" s="63" t="s">
        <v>954</v>
      </c>
      <c r="AH393" s="23" t="s">
        <v>955</v>
      </c>
      <c r="AI393" s="60"/>
      <c r="AJ393" s="124" t="s">
        <v>1608</v>
      </c>
      <c r="AK393" s="121" t="s">
        <v>1119</v>
      </c>
      <c r="AL393" s="107"/>
      <c r="AM393" s="108"/>
      <c r="AN393" s="109"/>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08"/>
      <c r="CM393" s="108"/>
      <c r="CN393" s="110"/>
      <c r="CO393" s="111"/>
      <c r="CP393" s="110"/>
      <c r="CQ393" s="111"/>
      <c r="CR393" s="110"/>
      <c r="CS393" s="111"/>
      <c r="CT393" s="112">
        <f t="shared" si="102"/>
        <v>0</v>
      </c>
      <c r="CU393" s="113"/>
      <c r="CV393" s="114"/>
      <c r="CW393" s="115"/>
      <c r="CX393" s="116"/>
      <c r="CY393" s="117"/>
      <c r="CZ393" s="116"/>
      <c r="DA393" s="113"/>
      <c r="DB393" s="114"/>
      <c r="DC393" s="64"/>
      <c r="DD393" s="118"/>
    </row>
    <row r="394" spans="1:108" ht="24" outlineLevel="2">
      <c r="A394" s="178">
        <v>40395</v>
      </c>
      <c r="B394" s="174" t="s">
        <v>1256</v>
      </c>
      <c r="C394" s="164" t="s">
        <v>1602</v>
      </c>
      <c r="D394" s="179" t="s">
        <v>435</v>
      </c>
      <c r="E394" s="163"/>
      <c r="F394" s="105"/>
      <c r="G394" s="105"/>
      <c r="H394" s="105">
        <v>1000</v>
      </c>
      <c r="I394" s="105">
        <v>200</v>
      </c>
      <c r="J394" s="105"/>
      <c r="K394" s="105">
        <v>200</v>
      </c>
      <c r="L394" s="105"/>
      <c r="M394" s="105"/>
      <c r="N394" s="105"/>
      <c r="O394" s="105"/>
      <c r="P394" s="105"/>
      <c r="Q394" s="105"/>
      <c r="R394" s="105"/>
      <c r="S394" s="105"/>
      <c r="T394" s="106"/>
      <c r="U394" s="130"/>
      <c r="V394" s="1"/>
      <c r="W394" s="68">
        <f t="shared" si="97"/>
        <v>0</v>
      </c>
      <c r="X394" s="68">
        <f t="shared" si="98"/>
        <v>0</v>
      </c>
      <c r="Y394" s="68">
        <f t="shared" si="99"/>
        <v>0</v>
      </c>
      <c r="Z394" s="68">
        <f t="shared" si="100"/>
        <v>0</v>
      </c>
      <c r="AA394" s="68"/>
      <c r="AB394" s="68">
        <v>0</v>
      </c>
      <c r="AC394" s="69">
        <f t="shared" si="101"/>
        <v>0</v>
      </c>
      <c r="AD394" s="70">
        <v>20150000</v>
      </c>
      <c r="AE394" s="63">
        <v>40441</v>
      </c>
      <c r="AF394" s="72"/>
      <c r="AG394" s="63" t="s">
        <v>954</v>
      </c>
      <c r="AH394" s="23" t="s">
        <v>955</v>
      </c>
      <c r="AI394" s="60"/>
      <c r="AJ394" s="132" t="s">
        <v>554</v>
      </c>
      <c r="AK394" s="121" t="s">
        <v>1118</v>
      </c>
      <c r="AL394" s="107"/>
      <c r="AM394" s="108"/>
      <c r="AN394" s="109"/>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08"/>
      <c r="CM394" s="108"/>
      <c r="CN394" s="110"/>
      <c r="CO394" s="111"/>
      <c r="CP394" s="110"/>
      <c r="CQ394" s="111"/>
      <c r="CR394" s="110"/>
      <c r="CS394" s="111"/>
      <c r="CT394" s="112">
        <f t="shared" si="102"/>
        <v>0</v>
      </c>
      <c r="CU394" s="113"/>
      <c r="CV394" s="114"/>
      <c r="CW394" s="115"/>
      <c r="CX394" s="116"/>
      <c r="CY394" s="117"/>
      <c r="CZ394" s="116"/>
      <c r="DA394" s="113"/>
      <c r="DB394" s="114"/>
      <c r="DC394" s="64"/>
      <c r="DD394" s="118"/>
    </row>
    <row r="395" spans="1:108" ht="48" outlineLevel="2">
      <c r="A395" s="178">
        <v>40420</v>
      </c>
      <c r="B395" s="174" t="s">
        <v>1256</v>
      </c>
      <c r="C395" s="174" t="s">
        <v>1503</v>
      </c>
      <c r="D395" s="179" t="s">
        <v>1262</v>
      </c>
      <c r="E395" s="163"/>
      <c r="F395" s="105"/>
      <c r="G395" s="105"/>
      <c r="H395" s="105">
        <v>125</v>
      </c>
      <c r="I395" s="105">
        <v>25</v>
      </c>
      <c r="J395" s="105"/>
      <c r="K395" s="105">
        <v>25</v>
      </c>
      <c r="L395" s="105">
        <v>3</v>
      </c>
      <c r="M395" s="105"/>
      <c r="N395" s="105">
        <v>2</v>
      </c>
      <c r="O395" s="105"/>
      <c r="P395" s="105"/>
      <c r="Q395" s="105"/>
      <c r="R395" s="105"/>
      <c r="S395" s="105"/>
      <c r="T395" s="106"/>
      <c r="U395" s="130"/>
      <c r="V395" s="1"/>
      <c r="W395" s="68">
        <f t="shared" si="97"/>
        <v>0</v>
      </c>
      <c r="X395" s="68">
        <f t="shared" si="98"/>
        <v>0</v>
      </c>
      <c r="Y395" s="68">
        <f t="shared" si="99"/>
        <v>0</v>
      </c>
      <c r="Z395" s="68">
        <f t="shared" si="100"/>
        <v>0</v>
      </c>
      <c r="AA395" s="68"/>
      <c r="AB395" s="68">
        <v>0</v>
      </c>
      <c r="AC395" s="69">
        <f t="shared" si="101"/>
        <v>0</v>
      </c>
      <c r="AD395" s="70">
        <v>5037500</v>
      </c>
      <c r="AE395" s="63">
        <v>40423</v>
      </c>
      <c r="AF395" s="72"/>
      <c r="AG395" s="63" t="s">
        <v>954</v>
      </c>
      <c r="AH395" s="23" t="s">
        <v>955</v>
      </c>
      <c r="AI395" s="60"/>
      <c r="AJ395" s="124" t="s">
        <v>1608</v>
      </c>
      <c r="AK395" s="121" t="s">
        <v>2275</v>
      </c>
      <c r="AL395" s="107"/>
      <c r="AM395" s="108"/>
      <c r="AN395" s="109"/>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08"/>
      <c r="CM395" s="108"/>
      <c r="CN395" s="110"/>
      <c r="CO395" s="111"/>
      <c r="CP395" s="110"/>
      <c r="CQ395" s="111"/>
      <c r="CR395" s="110"/>
      <c r="CS395" s="111"/>
      <c r="CT395" s="112">
        <f t="shared" si="102"/>
        <v>0</v>
      </c>
      <c r="CU395" s="113"/>
      <c r="CV395" s="114"/>
      <c r="CW395" s="115"/>
      <c r="CX395" s="116"/>
      <c r="CY395" s="117"/>
      <c r="CZ395" s="116"/>
      <c r="DA395" s="113"/>
      <c r="DB395" s="114"/>
      <c r="DC395" s="64"/>
      <c r="DD395" s="118"/>
    </row>
    <row r="396" spans="1:108" ht="36" outlineLevel="2">
      <c r="A396" s="178">
        <v>40431</v>
      </c>
      <c r="B396" s="164" t="s">
        <v>1256</v>
      </c>
      <c r="C396" s="164" t="s">
        <v>1214</v>
      </c>
      <c r="D396" s="166" t="s">
        <v>1262</v>
      </c>
      <c r="E396" s="163"/>
      <c r="F396" s="105"/>
      <c r="G396" s="105"/>
      <c r="H396" s="105">
        <f>170*5</f>
        <v>850</v>
      </c>
      <c r="I396" s="105">
        <v>170</v>
      </c>
      <c r="J396" s="105"/>
      <c r="K396" s="105">
        <v>170</v>
      </c>
      <c r="L396" s="105"/>
      <c r="M396" s="105"/>
      <c r="N396" s="105"/>
      <c r="O396" s="105"/>
      <c r="P396" s="105"/>
      <c r="Q396" s="105"/>
      <c r="R396" s="105"/>
      <c r="S396" s="105"/>
      <c r="T396" s="106"/>
      <c r="U396" s="130"/>
      <c r="V396" s="1"/>
      <c r="W396" s="68">
        <f t="shared" si="97"/>
        <v>0</v>
      </c>
      <c r="X396" s="68">
        <f t="shared" si="98"/>
        <v>0</v>
      </c>
      <c r="Y396" s="68">
        <f t="shared" si="99"/>
        <v>0</v>
      </c>
      <c r="Z396" s="68">
        <f t="shared" si="100"/>
        <v>0</v>
      </c>
      <c r="AA396" s="68"/>
      <c r="AB396" s="68">
        <v>0</v>
      </c>
      <c r="AC396" s="69">
        <f t="shared" si="101"/>
        <v>0</v>
      </c>
      <c r="AD396" s="70">
        <v>39950000</v>
      </c>
      <c r="AE396" s="63">
        <v>40504</v>
      </c>
      <c r="AF396" s="72"/>
      <c r="AG396" s="63" t="s">
        <v>954</v>
      </c>
      <c r="AH396" s="23" t="s">
        <v>955</v>
      </c>
      <c r="AI396" s="60"/>
      <c r="AJ396" s="124" t="s">
        <v>1336</v>
      </c>
      <c r="AK396" s="121" t="s">
        <v>684</v>
      </c>
      <c r="AL396" s="107"/>
      <c r="AM396" s="108"/>
      <c r="AN396" s="109"/>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08"/>
      <c r="CM396" s="108"/>
      <c r="CN396" s="110"/>
      <c r="CO396" s="111"/>
      <c r="CP396" s="110"/>
      <c r="CQ396" s="111"/>
      <c r="CR396" s="110"/>
      <c r="CS396" s="111"/>
      <c r="CT396" s="112">
        <f t="shared" si="102"/>
        <v>0</v>
      </c>
      <c r="CU396" s="113"/>
      <c r="CV396" s="114"/>
      <c r="CW396" s="115"/>
      <c r="CX396" s="116"/>
      <c r="CY396" s="117"/>
      <c r="CZ396" s="116"/>
      <c r="DA396" s="113"/>
      <c r="DB396" s="114"/>
      <c r="DC396" s="64"/>
      <c r="DD396" s="118"/>
    </row>
    <row r="397" spans="1:108" ht="24" outlineLevel="2">
      <c r="A397" s="178">
        <v>40449</v>
      </c>
      <c r="B397" s="164" t="s">
        <v>1256</v>
      </c>
      <c r="C397" s="164" t="s">
        <v>744</v>
      </c>
      <c r="D397" s="165" t="s">
        <v>1182</v>
      </c>
      <c r="E397" s="163"/>
      <c r="F397" s="105"/>
      <c r="G397" s="105"/>
      <c r="H397" s="105"/>
      <c r="I397" s="105"/>
      <c r="J397" s="105"/>
      <c r="K397" s="105"/>
      <c r="L397" s="105">
        <v>1</v>
      </c>
      <c r="M397" s="105"/>
      <c r="N397" s="105"/>
      <c r="O397" s="105"/>
      <c r="P397" s="105"/>
      <c r="Q397" s="105"/>
      <c r="R397" s="105"/>
      <c r="S397" s="105"/>
      <c r="T397" s="106"/>
      <c r="U397" s="130"/>
      <c r="V397" s="1"/>
      <c r="W397" s="68">
        <f t="shared" si="97"/>
        <v>0</v>
      </c>
      <c r="X397" s="68">
        <f t="shared" si="98"/>
        <v>0</v>
      </c>
      <c r="Y397" s="68">
        <f t="shared" si="99"/>
        <v>0</v>
      </c>
      <c r="Z397" s="68">
        <f t="shared" si="100"/>
        <v>0</v>
      </c>
      <c r="AA397" s="68"/>
      <c r="AB397" s="68">
        <v>0</v>
      </c>
      <c r="AC397" s="69">
        <f t="shared" si="101"/>
        <v>0</v>
      </c>
      <c r="AD397" s="70">
        <v>0</v>
      </c>
      <c r="AE397" s="63">
        <v>40451</v>
      </c>
      <c r="AF397" s="72"/>
      <c r="AG397" s="63" t="s">
        <v>938</v>
      </c>
      <c r="AH397" s="23" t="s">
        <v>939</v>
      </c>
      <c r="AI397" s="60"/>
      <c r="AJ397" s="124" t="s">
        <v>1608</v>
      </c>
      <c r="AK397" s="121" t="s">
        <v>745</v>
      </c>
      <c r="AL397" s="107"/>
      <c r="AM397" s="108"/>
      <c r="AN397" s="109"/>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08"/>
      <c r="CM397" s="108"/>
      <c r="CN397" s="110"/>
      <c r="CO397" s="111"/>
      <c r="CP397" s="110"/>
      <c r="CQ397" s="111"/>
      <c r="CR397" s="110"/>
      <c r="CS397" s="111"/>
      <c r="CT397" s="112">
        <f t="shared" si="102"/>
        <v>0</v>
      </c>
      <c r="CU397" s="113"/>
      <c r="CV397" s="114"/>
      <c r="CW397" s="115"/>
      <c r="CX397" s="116"/>
      <c r="CY397" s="117"/>
      <c r="CZ397" s="116"/>
      <c r="DA397" s="113"/>
      <c r="DB397" s="114"/>
      <c r="DC397" s="64"/>
      <c r="DD397" s="118"/>
    </row>
    <row r="398" spans="1:108" ht="24" outlineLevel="2">
      <c r="A398" s="178">
        <v>40456</v>
      </c>
      <c r="B398" s="164" t="s">
        <v>1256</v>
      </c>
      <c r="C398" s="164" t="s">
        <v>1018</v>
      </c>
      <c r="D398" s="165" t="s">
        <v>1182</v>
      </c>
      <c r="E398" s="163"/>
      <c r="F398" s="105"/>
      <c r="G398" s="105"/>
      <c r="H398" s="105">
        <v>155</v>
      </c>
      <c r="I398" s="105">
        <v>31</v>
      </c>
      <c r="J398" s="105"/>
      <c r="K398" s="105">
        <v>31</v>
      </c>
      <c r="L398" s="105"/>
      <c r="M398" s="105"/>
      <c r="N398" s="105"/>
      <c r="O398" s="105"/>
      <c r="P398" s="105"/>
      <c r="Q398" s="105"/>
      <c r="R398" s="105"/>
      <c r="S398" s="105"/>
      <c r="T398" s="106"/>
      <c r="U398" s="130"/>
      <c r="V398" s="1"/>
      <c r="W398" s="68">
        <f t="shared" si="97"/>
        <v>0</v>
      </c>
      <c r="X398" s="68">
        <f t="shared" si="98"/>
        <v>0</v>
      </c>
      <c r="Y398" s="68">
        <f t="shared" si="99"/>
        <v>0</v>
      </c>
      <c r="Z398" s="68">
        <f t="shared" si="100"/>
        <v>0</v>
      </c>
      <c r="AA398" s="68"/>
      <c r="AB398" s="68">
        <v>0</v>
      </c>
      <c r="AC398" s="69">
        <f t="shared" si="101"/>
        <v>0</v>
      </c>
      <c r="AD398" s="70">
        <v>7285000</v>
      </c>
      <c r="AE398" s="63">
        <v>40484</v>
      </c>
      <c r="AF398" s="72"/>
      <c r="AG398" s="63" t="s">
        <v>954</v>
      </c>
      <c r="AH398" s="23" t="s">
        <v>955</v>
      </c>
      <c r="AI398" s="83"/>
      <c r="AJ398" s="124" t="s">
        <v>1608</v>
      </c>
      <c r="AK398" s="121" t="s">
        <v>1019</v>
      </c>
      <c r="AL398" s="107"/>
      <c r="AM398" s="108"/>
      <c r="AN398" s="109"/>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08"/>
      <c r="CM398" s="108"/>
      <c r="CN398" s="110"/>
      <c r="CO398" s="111"/>
      <c r="CP398" s="110"/>
      <c r="CQ398" s="111"/>
      <c r="CR398" s="110"/>
      <c r="CS398" s="111"/>
      <c r="CT398" s="112">
        <f t="shared" si="102"/>
        <v>0</v>
      </c>
      <c r="CU398" s="113"/>
      <c r="CV398" s="114"/>
      <c r="CW398" s="115"/>
      <c r="CX398" s="116"/>
      <c r="CY398" s="117"/>
      <c r="CZ398" s="116"/>
      <c r="DA398" s="113"/>
      <c r="DB398" s="114"/>
      <c r="DC398" s="64"/>
      <c r="DD398" s="118"/>
    </row>
    <row r="399" spans="1:108" ht="48" outlineLevel="2">
      <c r="A399" s="178">
        <v>40458</v>
      </c>
      <c r="B399" s="164" t="s">
        <v>1256</v>
      </c>
      <c r="C399" s="164" t="s">
        <v>1602</v>
      </c>
      <c r="D399" s="165" t="s">
        <v>1182</v>
      </c>
      <c r="E399" s="163">
        <v>3</v>
      </c>
      <c r="F399" s="105">
        <v>3</v>
      </c>
      <c r="G399" s="105"/>
      <c r="H399" s="105">
        <v>25</v>
      </c>
      <c r="I399" s="105">
        <v>5</v>
      </c>
      <c r="J399" s="105">
        <v>5</v>
      </c>
      <c r="K399" s="105"/>
      <c r="L399" s="105"/>
      <c r="M399" s="105"/>
      <c r="N399" s="105"/>
      <c r="O399" s="105"/>
      <c r="P399" s="105"/>
      <c r="Q399" s="105"/>
      <c r="R399" s="105"/>
      <c r="S399" s="105"/>
      <c r="T399" s="106"/>
      <c r="U399" s="130"/>
      <c r="V399" s="1"/>
      <c r="W399" s="68">
        <f t="shared" si="97"/>
        <v>0</v>
      </c>
      <c r="X399" s="68">
        <f t="shared" si="98"/>
        <v>0</v>
      </c>
      <c r="Y399" s="68">
        <f t="shared" si="99"/>
        <v>0</v>
      </c>
      <c r="Z399" s="68">
        <f t="shared" si="100"/>
        <v>0</v>
      </c>
      <c r="AA399" s="68"/>
      <c r="AB399" s="68">
        <v>0</v>
      </c>
      <c r="AC399" s="69">
        <f t="shared" si="101"/>
        <v>0</v>
      </c>
      <c r="AD399" s="70">
        <v>0</v>
      </c>
      <c r="AE399" s="63">
        <v>40484</v>
      </c>
      <c r="AF399" s="72"/>
      <c r="AG399" s="63" t="s">
        <v>938</v>
      </c>
      <c r="AH399" s="23" t="s">
        <v>939</v>
      </c>
      <c r="AI399" s="83"/>
      <c r="AJ399" s="124" t="s">
        <v>1608</v>
      </c>
      <c r="AK399" s="121" t="s">
        <v>555</v>
      </c>
      <c r="AL399" s="107"/>
      <c r="AM399" s="108"/>
      <c r="AN399" s="109"/>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08"/>
      <c r="CM399" s="108"/>
      <c r="CN399" s="110"/>
      <c r="CO399" s="111"/>
      <c r="CP399" s="110"/>
      <c r="CQ399" s="111"/>
      <c r="CR399" s="110"/>
      <c r="CS399" s="111"/>
      <c r="CT399" s="112">
        <f t="shared" si="102"/>
        <v>0</v>
      </c>
      <c r="CU399" s="113"/>
      <c r="CV399" s="114"/>
      <c r="CW399" s="115"/>
      <c r="CX399" s="116"/>
      <c r="CY399" s="117"/>
      <c r="CZ399" s="116"/>
      <c r="DA399" s="113"/>
      <c r="DB399" s="114"/>
      <c r="DC399" s="64"/>
      <c r="DD399" s="118"/>
    </row>
    <row r="400" spans="1:108" ht="24" outlineLevel="2">
      <c r="A400" s="178">
        <v>40459</v>
      </c>
      <c r="B400" s="164" t="s">
        <v>1256</v>
      </c>
      <c r="C400" s="164" t="s">
        <v>513</v>
      </c>
      <c r="D400" s="165" t="s">
        <v>1182</v>
      </c>
      <c r="E400" s="163"/>
      <c r="F400" s="105"/>
      <c r="G400" s="105"/>
      <c r="H400" s="105">
        <v>250</v>
      </c>
      <c r="I400" s="105">
        <v>50</v>
      </c>
      <c r="J400" s="105"/>
      <c r="K400" s="105">
        <v>50</v>
      </c>
      <c r="L400" s="105">
        <v>1</v>
      </c>
      <c r="M400" s="105"/>
      <c r="N400" s="105"/>
      <c r="O400" s="105"/>
      <c r="P400" s="105"/>
      <c r="Q400" s="105"/>
      <c r="R400" s="105"/>
      <c r="S400" s="105"/>
      <c r="T400" s="106"/>
      <c r="U400" s="130"/>
      <c r="V400" s="1"/>
      <c r="W400" s="68">
        <f t="shared" si="97"/>
        <v>0</v>
      </c>
      <c r="X400" s="68">
        <f t="shared" si="98"/>
        <v>0</v>
      </c>
      <c r="Y400" s="68">
        <f t="shared" si="99"/>
        <v>0</v>
      </c>
      <c r="Z400" s="68">
        <f t="shared" si="100"/>
        <v>0</v>
      </c>
      <c r="AA400" s="68"/>
      <c r="AB400" s="68">
        <v>0</v>
      </c>
      <c r="AC400" s="69">
        <f t="shared" si="101"/>
        <v>0</v>
      </c>
      <c r="AD400" s="70">
        <v>11750000</v>
      </c>
      <c r="AE400" s="63">
        <v>40492</v>
      </c>
      <c r="AF400" s="72"/>
      <c r="AG400" s="63" t="s">
        <v>954</v>
      </c>
      <c r="AH400" s="23" t="s">
        <v>955</v>
      </c>
      <c r="AI400" s="60"/>
      <c r="AJ400" s="124" t="s">
        <v>1608</v>
      </c>
      <c r="AK400" s="121" t="s">
        <v>565</v>
      </c>
      <c r="AL400" s="107"/>
      <c r="AM400" s="108"/>
      <c r="AN400" s="109"/>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08"/>
      <c r="CM400" s="108"/>
      <c r="CN400" s="110"/>
      <c r="CO400" s="111"/>
      <c r="CP400" s="110"/>
      <c r="CQ400" s="111"/>
      <c r="CR400" s="110"/>
      <c r="CS400" s="111"/>
      <c r="CT400" s="112">
        <f t="shared" si="102"/>
        <v>0</v>
      </c>
      <c r="CU400" s="113"/>
      <c r="CV400" s="114"/>
      <c r="CW400" s="115"/>
      <c r="CX400" s="116"/>
      <c r="CY400" s="117"/>
      <c r="CZ400" s="116"/>
      <c r="DA400" s="113"/>
      <c r="DB400" s="114"/>
      <c r="DC400" s="64"/>
      <c r="DD400" s="118"/>
    </row>
    <row r="401" spans="1:108" ht="36" outlineLevel="2">
      <c r="A401" s="178">
        <v>40459</v>
      </c>
      <c r="B401" s="164" t="s">
        <v>1256</v>
      </c>
      <c r="C401" s="164" t="s">
        <v>1206</v>
      </c>
      <c r="D401" s="165" t="s">
        <v>1182</v>
      </c>
      <c r="E401" s="163"/>
      <c r="F401" s="105"/>
      <c r="G401" s="105"/>
      <c r="H401" s="105">
        <v>150</v>
      </c>
      <c r="I401" s="105">
        <v>50</v>
      </c>
      <c r="J401" s="105"/>
      <c r="K401" s="105">
        <v>50</v>
      </c>
      <c r="L401" s="105">
        <v>2</v>
      </c>
      <c r="M401" s="105"/>
      <c r="N401" s="105"/>
      <c r="O401" s="105"/>
      <c r="P401" s="105"/>
      <c r="Q401" s="105"/>
      <c r="R401" s="105"/>
      <c r="S401" s="105"/>
      <c r="T401" s="106"/>
      <c r="U401" s="130"/>
      <c r="V401" s="1"/>
      <c r="W401" s="68">
        <f t="shared" si="97"/>
        <v>0</v>
      </c>
      <c r="X401" s="68">
        <f t="shared" si="98"/>
        <v>0</v>
      </c>
      <c r="Y401" s="68">
        <f t="shared" si="99"/>
        <v>0</v>
      </c>
      <c r="Z401" s="68">
        <f t="shared" si="100"/>
        <v>0</v>
      </c>
      <c r="AA401" s="68"/>
      <c r="AB401" s="68">
        <v>0</v>
      </c>
      <c r="AC401" s="69">
        <f t="shared" si="101"/>
        <v>0</v>
      </c>
      <c r="AD401" s="70">
        <v>14100000</v>
      </c>
      <c r="AE401" s="63">
        <v>40484</v>
      </c>
      <c r="AF401" s="72"/>
      <c r="AG401" s="63" t="s">
        <v>954</v>
      </c>
      <c r="AH401" s="23" t="s">
        <v>955</v>
      </c>
      <c r="AI401" s="83"/>
      <c r="AJ401" s="124" t="s">
        <v>1608</v>
      </c>
      <c r="AK401" s="121" t="s">
        <v>1020</v>
      </c>
      <c r="AL401" s="107"/>
      <c r="AM401" s="108"/>
      <c r="AN401" s="109"/>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08"/>
      <c r="CM401" s="108"/>
      <c r="CN401" s="110"/>
      <c r="CO401" s="111"/>
      <c r="CP401" s="110"/>
      <c r="CQ401" s="111"/>
      <c r="CR401" s="110"/>
      <c r="CS401" s="111"/>
      <c r="CT401" s="112">
        <f t="shared" si="102"/>
        <v>0</v>
      </c>
      <c r="CU401" s="113"/>
      <c r="CV401" s="114"/>
      <c r="CW401" s="115"/>
      <c r="CX401" s="116"/>
      <c r="CY401" s="117"/>
      <c r="CZ401" s="116"/>
      <c r="DA401" s="113"/>
      <c r="DB401" s="114"/>
      <c r="DC401" s="64"/>
      <c r="DD401" s="118"/>
    </row>
    <row r="402" spans="1:108" ht="24" outlineLevel="2">
      <c r="A402" s="178">
        <v>40459</v>
      </c>
      <c r="B402" s="164" t="s">
        <v>1256</v>
      </c>
      <c r="C402" s="164" t="s">
        <v>224</v>
      </c>
      <c r="D402" s="166" t="s">
        <v>1262</v>
      </c>
      <c r="E402" s="163"/>
      <c r="F402" s="105"/>
      <c r="G402" s="105"/>
      <c r="H402" s="105">
        <v>60</v>
      </c>
      <c r="I402" s="105">
        <v>12</v>
      </c>
      <c r="J402" s="105"/>
      <c r="K402" s="105">
        <v>12</v>
      </c>
      <c r="L402" s="105"/>
      <c r="M402" s="105"/>
      <c r="N402" s="105"/>
      <c r="O402" s="105"/>
      <c r="P402" s="105"/>
      <c r="Q402" s="105"/>
      <c r="R402" s="105">
        <v>1</v>
      </c>
      <c r="S402" s="105">
        <v>1</v>
      </c>
      <c r="T402" s="106"/>
      <c r="U402" s="130"/>
      <c r="V402" s="1"/>
      <c r="W402" s="68">
        <f t="shared" si="97"/>
        <v>0</v>
      </c>
      <c r="X402" s="68">
        <f t="shared" si="98"/>
        <v>0</v>
      </c>
      <c r="Y402" s="68">
        <f t="shared" si="99"/>
        <v>0</v>
      </c>
      <c r="Z402" s="68">
        <f t="shared" si="100"/>
        <v>0</v>
      </c>
      <c r="AA402" s="68"/>
      <c r="AB402" s="68">
        <v>0</v>
      </c>
      <c r="AC402" s="69">
        <f t="shared" si="101"/>
        <v>0</v>
      </c>
      <c r="AD402" s="70">
        <v>0</v>
      </c>
      <c r="AE402" s="63">
        <v>40462</v>
      </c>
      <c r="AF402" s="72"/>
      <c r="AG402" s="63" t="s">
        <v>938</v>
      </c>
      <c r="AH402" s="23" t="s">
        <v>939</v>
      </c>
      <c r="AI402" s="60"/>
      <c r="AJ402" s="124" t="s">
        <v>1608</v>
      </c>
      <c r="AK402" s="121" t="s">
        <v>1305</v>
      </c>
      <c r="AL402" s="107"/>
      <c r="AM402" s="108"/>
      <c r="AN402" s="109"/>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08"/>
      <c r="CM402" s="108"/>
      <c r="CN402" s="110"/>
      <c r="CO402" s="111"/>
      <c r="CP402" s="110"/>
      <c r="CQ402" s="111"/>
      <c r="CR402" s="110"/>
      <c r="CS402" s="111"/>
      <c r="CT402" s="112">
        <f t="shared" si="102"/>
        <v>0</v>
      </c>
      <c r="CU402" s="113"/>
      <c r="CV402" s="114"/>
      <c r="CW402" s="115"/>
      <c r="CX402" s="116"/>
      <c r="CY402" s="117"/>
      <c r="CZ402" s="116"/>
      <c r="DA402" s="113"/>
      <c r="DB402" s="114"/>
      <c r="DC402" s="64"/>
      <c r="DD402" s="118"/>
    </row>
    <row r="403" spans="1:108" ht="24" outlineLevel="2">
      <c r="A403" s="178">
        <v>40462</v>
      </c>
      <c r="B403" s="164" t="s">
        <v>1256</v>
      </c>
      <c r="C403" s="164" t="s">
        <v>1211</v>
      </c>
      <c r="D403" s="165" t="s">
        <v>1182</v>
      </c>
      <c r="E403" s="163"/>
      <c r="F403" s="105"/>
      <c r="G403" s="105"/>
      <c r="H403" s="105"/>
      <c r="I403" s="105"/>
      <c r="J403" s="105"/>
      <c r="K403" s="105"/>
      <c r="L403" s="105">
        <v>1</v>
      </c>
      <c r="M403" s="105"/>
      <c r="N403" s="105"/>
      <c r="O403" s="105"/>
      <c r="P403" s="105"/>
      <c r="Q403" s="105"/>
      <c r="R403" s="105"/>
      <c r="S403" s="105"/>
      <c r="T403" s="106"/>
      <c r="U403" s="130"/>
      <c r="V403" s="1"/>
      <c r="W403" s="68">
        <f t="shared" si="97"/>
        <v>0</v>
      </c>
      <c r="X403" s="68">
        <f t="shared" si="98"/>
        <v>0</v>
      </c>
      <c r="Y403" s="68">
        <f t="shared" si="99"/>
        <v>0</v>
      </c>
      <c r="Z403" s="68">
        <f t="shared" si="100"/>
        <v>0</v>
      </c>
      <c r="AA403" s="68"/>
      <c r="AB403" s="68">
        <v>0</v>
      </c>
      <c r="AC403" s="69">
        <f t="shared" si="101"/>
        <v>0</v>
      </c>
      <c r="AD403" s="70">
        <v>0</v>
      </c>
      <c r="AE403" s="63">
        <v>40505</v>
      </c>
      <c r="AF403" s="72"/>
      <c r="AG403" s="63" t="s">
        <v>938</v>
      </c>
      <c r="AH403" s="23" t="s">
        <v>939</v>
      </c>
      <c r="AI403" s="60"/>
      <c r="AJ403" s="124" t="s">
        <v>1608</v>
      </c>
      <c r="AK403" s="121" t="s">
        <v>711</v>
      </c>
      <c r="AL403" s="107"/>
      <c r="AM403" s="108"/>
      <c r="AN403" s="109"/>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08"/>
      <c r="CM403" s="108"/>
      <c r="CN403" s="110"/>
      <c r="CO403" s="111"/>
      <c r="CP403" s="110"/>
      <c r="CQ403" s="111"/>
      <c r="CR403" s="110"/>
      <c r="CS403" s="111"/>
      <c r="CT403" s="112">
        <f t="shared" si="102"/>
        <v>0</v>
      </c>
      <c r="CU403" s="113"/>
      <c r="CV403" s="114"/>
      <c r="CW403" s="115"/>
      <c r="CX403" s="116"/>
      <c r="CY403" s="117"/>
      <c r="CZ403" s="116"/>
      <c r="DA403" s="113"/>
      <c r="DB403" s="114"/>
      <c r="DC403" s="64"/>
      <c r="DD403" s="118"/>
    </row>
    <row r="404" spans="1:108" ht="36" outlineLevel="2">
      <c r="A404" s="178">
        <v>40464</v>
      </c>
      <c r="B404" s="164" t="s">
        <v>1256</v>
      </c>
      <c r="C404" s="164" t="s">
        <v>1206</v>
      </c>
      <c r="D404" s="165" t="s">
        <v>1182</v>
      </c>
      <c r="E404" s="163"/>
      <c r="F404" s="105"/>
      <c r="G404" s="105"/>
      <c r="H404" s="105">
        <v>30</v>
      </c>
      <c r="I404" s="105">
        <v>6</v>
      </c>
      <c r="J404" s="105">
        <v>6</v>
      </c>
      <c r="K404" s="105"/>
      <c r="L404" s="105">
        <v>1</v>
      </c>
      <c r="M404" s="105"/>
      <c r="N404" s="105"/>
      <c r="O404" s="105"/>
      <c r="P404" s="105"/>
      <c r="Q404" s="105"/>
      <c r="R404" s="105"/>
      <c r="S404" s="105"/>
      <c r="T404" s="106"/>
      <c r="U404" s="130"/>
      <c r="V404" s="1"/>
      <c r="W404" s="68">
        <f t="shared" si="97"/>
        <v>0</v>
      </c>
      <c r="X404" s="68">
        <f t="shared" si="98"/>
        <v>0</v>
      </c>
      <c r="Y404" s="68">
        <f t="shared" si="99"/>
        <v>0</v>
      </c>
      <c r="Z404" s="68">
        <f t="shared" si="100"/>
        <v>0</v>
      </c>
      <c r="AA404" s="68"/>
      <c r="AB404" s="68">
        <v>0</v>
      </c>
      <c r="AC404" s="69">
        <f t="shared" si="101"/>
        <v>0</v>
      </c>
      <c r="AD404" s="70">
        <v>0</v>
      </c>
      <c r="AE404" s="63">
        <v>40465</v>
      </c>
      <c r="AF404" s="72"/>
      <c r="AG404" s="63" t="s">
        <v>938</v>
      </c>
      <c r="AH404" s="23" t="s">
        <v>939</v>
      </c>
      <c r="AI404" s="60"/>
      <c r="AJ404" s="124" t="s">
        <v>1608</v>
      </c>
      <c r="AK404" s="121" t="s">
        <v>823</v>
      </c>
      <c r="AL404" s="107"/>
      <c r="AM404" s="108"/>
      <c r="AN404" s="109"/>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08"/>
      <c r="CM404" s="108"/>
      <c r="CN404" s="110"/>
      <c r="CO404" s="111"/>
      <c r="CP404" s="110"/>
      <c r="CQ404" s="111"/>
      <c r="CR404" s="110"/>
      <c r="CS404" s="111"/>
      <c r="CT404" s="112">
        <f t="shared" si="102"/>
        <v>0</v>
      </c>
      <c r="CU404" s="113"/>
      <c r="CV404" s="114"/>
      <c r="CW404" s="115"/>
      <c r="CX404" s="116"/>
      <c r="CY404" s="117"/>
      <c r="CZ404" s="116"/>
      <c r="DA404" s="113"/>
      <c r="DB404" s="114"/>
      <c r="DC404" s="64"/>
      <c r="DD404" s="118"/>
    </row>
    <row r="405" spans="1:108" outlineLevel="2">
      <c r="A405" s="178">
        <v>40464</v>
      </c>
      <c r="B405" s="164" t="s">
        <v>1256</v>
      </c>
      <c r="C405" s="164" t="s">
        <v>824</v>
      </c>
      <c r="D405" s="165" t="s">
        <v>1182</v>
      </c>
      <c r="E405" s="163"/>
      <c r="F405" s="105"/>
      <c r="G405" s="105"/>
      <c r="H405" s="105">
        <v>5</v>
      </c>
      <c r="I405" s="105">
        <v>1</v>
      </c>
      <c r="J405" s="105">
        <v>1</v>
      </c>
      <c r="K405" s="105"/>
      <c r="L405" s="105"/>
      <c r="M405" s="105"/>
      <c r="N405" s="105"/>
      <c r="O405" s="105"/>
      <c r="P405" s="105"/>
      <c r="Q405" s="105"/>
      <c r="R405" s="105"/>
      <c r="S405" s="105"/>
      <c r="T405" s="106"/>
      <c r="U405" s="130"/>
      <c r="V405" s="1"/>
      <c r="W405" s="68">
        <f t="shared" si="97"/>
        <v>0</v>
      </c>
      <c r="X405" s="68">
        <f t="shared" si="98"/>
        <v>0</v>
      </c>
      <c r="Y405" s="68">
        <f t="shared" si="99"/>
        <v>0</v>
      </c>
      <c r="Z405" s="68">
        <f t="shared" si="100"/>
        <v>0</v>
      </c>
      <c r="AA405" s="68"/>
      <c r="AB405" s="68">
        <v>0</v>
      </c>
      <c r="AC405" s="69">
        <f t="shared" si="101"/>
        <v>0</v>
      </c>
      <c r="AD405" s="70">
        <v>0</v>
      </c>
      <c r="AE405" s="63">
        <v>40465</v>
      </c>
      <c r="AF405" s="72"/>
      <c r="AG405" s="63" t="s">
        <v>938</v>
      </c>
      <c r="AH405" s="23" t="s">
        <v>939</v>
      </c>
      <c r="AI405" s="60"/>
      <c r="AJ405" s="124" t="s">
        <v>1608</v>
      </c>
      <c r="AK405" s="121" t="s">
        <v>825</v>
      </c>
      <c r="AL405" s="107"/>
      <c r="AM405" s="108"/>
      <c r="AN405" s="109"/>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08"/>
      <c r="CM405" s="108"/>
      <c r="CN405" s="110"/>
      <c r="CO405" s="111"/>
      <c r="CP405" s="110"/>
      <c r="CQ405" s="111"/>
      <c r="CR405" s="110"/>
      <c r="CS405" s="111"/>
      <c r="CT405" s="112">
        <f t="shared" si="102"/>
        <v>0</v>
      </c>
      <c r="CU405" s="113"/>
      <c r="CV405" s="114"/>
      <c r="CW405" s="115"/>
      <c r="CX405" s="116"/>
      <c r="CY405" s="117"/>
      <c r="CZ405" s="116"/>
      <c r="DA405" s="113"/>
      <c r="DB405" s="114"/>
      <c r="DC405" s="64"/>
      <c r="DD405" s="118"/>
    </row>
    <row r="406" spans="1:108" ht="24" outlineLevel="2">
      <c r="A406" s="178">
        <v>40470</v>
      </c>
      <c r="B406" s="164" t="s">
        <v>1256</v>
      </c>
      <c r="C406" s="164" t="s">
        <v>1021</v>
      </c>
      <c r="D406" s="166" t="s">
        <v>435</v>
      </c>
      <c r="E406" s="163"/>
      <c r="F406" s="105"/>
      <c r="G406" s="105"/>
      <c r="H406" s="105">
        <v>715</v>
      </c>
      <c r="I406" s="105">
        <v>143</v>
      </c>
      <c r="J406" s="105"/>
      <c r="K406" s="105">
        <v>143</v>
      </c>
      <c r="L406" s="105"/>
      <c r="M406" s="105"/>
      <c r="N406" s="105"/>
      <c r="O406" s="105"/>
      <c r="P406" s="105"/>
      <c r="Q406" s="105"/>
      <c r="R406" s="105"/>
      <c r="S406" s="105"/>
      <c r="T406" s="106"/>
      <c r="U406" s="130"/>
      <c r="V406" s="1"/>
      <c r="W406" s="68">
        <f t="shared" si="97"/>
        <v>0</v>
      </c>
      <c r="X406" s="68">
        <f t="shared" si="98"/>
        <v>0</v>
      </c>
      <c r="Y406" s="68">
        <f t="shared" si="99"/>
        <v>0</v>
      </c>
      <c r="Z406" s="68">
        <f t="shared" si="100"/>
        <v>0</v>
      </c>
      <c r="AA406" s="68"/>
      <c r="AB406" s="68">
        <v>0</v>
      </c>
      <c r="AC406" s="69">
        <f t="shared" si="101"/>
        <v>0</v>
      </c>
      <c r="AD406" s="70">
        <v>33605000</v>
      </c>
      <c r="AE406" s="63">
        <v>40484</v>
      </c>
      <c r="AF406" s="72"/>
      <c r="AG406" s="63" t="s">
        <v>954</v>
      </c>
      <c r="AH406" s="23" t="s">
        <v>955</v>
      </c>
      <c r="AI406" s="83"/>
      <c r="AJ406" s="124" t="s">
        <v>1608</v>
      </c>
      <c r="AK406" s="121" t="s">
        <v>1022</v>
      </c>
      <c r="AL406" s="107"/>
      <c r="AM406" s="108"/>
      <c r="AN406" s="109"/>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08"/>
      <c r="CM406" s="108"/>
      <c r="CN406" s="110"/>
      <c r="CO406" s="111"/>
      <c r="CP406" s="110"/>
      <c r="CQ406" s="111"/>
      <c r="CR406" s="110"/>
      <c r="CS406" s="111"/>
      <c r="CT406" s="112">
        <f t="shared" si="102"/>
        <v>0</v>
      </c>
      <c r="CU406" s="113"/>
      <c r="CV406" s="114"/>
      <c r="CW406" s="115"/>
      <c r="CX406" s="116"/>
      <c r="CY406" s="117"/>
      <c r="CZ406" s="116"/>
      <c r="DA406" s="113"/>
      <c r="DB406" s="114"/>
      <c r="DC406" s="64"/>
      <c r="DD406" s="118"/>
    </row>
    <row r="407" spans="1:108" ht="24" outlineLevel="2">
      <c r="A407" s="178">
        <v>40489</v>
      </c>
      <c r="B407" s="164" t="s">
        <v>1256</v>
      </c>
      <c r="C407" s="164" t="s">
        <v>1279</v>
      </c>
      <c r="D407" s="165" t="s">
        <v>1182</v>
      </c>
      <c r="E407" s="163">
        <v>1</v>
      </c>
      <c r="F407" s="105"/>
      <c r="G407" s="105"/>
      <c r="H407" s="105"/>
      <c r="I407" s="105"/>
      <c r="J407" s="105"/>
      <c r="K407" s="105"/>
      <c r="L407" s="105">
        <v>1</v>
      </c>
      <c r="M407" s="105"/>
      <c r="N407" s="105"/>
      <c r="O407" s="105"/>
      <c r="P407" s="105"/>
      <c r="Q407" s="105"/>
      <c r="R407" s="105"/>
      <c r="S407" s="105"/>
      <c r="T407" s="106"/>
      <c r="U407" s="130"/>
      <c r="V407" s="1"/>
      <c r="W407" s="68">
        <f t="shared" si="97"/>
        <v>0</v>
      </c>
      <c r="X407" s="68">
        <f t="shared" si="98"/>
        <v>0</v>
      </c>
      <c r="Y407" s="68">
        <f t="shared" si="99"/>
        <v>0</v>
      </c>
      <c r="Z407" s="68">
        <f t="shared" si="100"/>
        <v>0</v>
      </c>
      <c r="AA407" s="68"/>
      <c r="AB407" s="68">
        <v>0</v>
      </c>
      <c r="AC407" s="69">
        <f t="shared" si="101"/>
        <v>0</v>
      </c>
      <c r="AD407" s="70">
        <v>0</v>
      </c>
      <c r="AE407" s="63">
        <v>40491</v>
      </c>
      <c r="AF407" s="72"/>
      <c r="AG407" s="63" t="s">
        <v>938</v>
      </c>
      <c r="AH407" s="23" t="s">
        <v>939</v>
      </c>
      <c r="AI407" s="60"/>
      <c r="AJ407" s="124" t="s">
        <v>1608</v>
      </c>
      <c r="AK407" s="121" t="s">
        <v>490</v>
      </c>
      <c r="AL407" s="107"/>
      <c r="AM407" s="108"/>
      <c r="AN407" s="109"/>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08"/>
      <c r="CM407" s="108"/>
      <c r="CN407" s="110"/>
      <c r="CO407" s="111"/>
      <c r="CP407" s="110"/>
      <c r="CQ407" s="111"/>
      <c r="CR407" s="110"/>
      <c r="CS407" s="111"/>
      <c r="CT407" s="112">
        <f t="shared" si="102"/>
        <v>0</v>
      </c>
      <c r="CU407" s="113"/>
      <c r="CV407" s="114"/>
      <c r="CW407" s="115"/>
      <c r="CX407" s="116"/>
      <c r="CY407" s="117"/>
      <c r="CZ407" s="116"/>
      <c r="DA407" s="113"/>
      <c r="DB407" s="114"/>
      <c r="DC407" s="64"/>
      <c r="DD407" s="118"/>
    </row>
    <row r="408" spans="1:108" ht="36" outlineLevel="2">
      <c r="A408" s="178">
        <v>40489</v>
      </c>
      <c r="B408" s="164" t="s">
        <v>1256</v>
      </c>
      <c r="C408" s="164" t="s">
        <v>491</v>
      </c>
      <c r="D408" s="165" t="s">
        <v>1182</v>
      </c>
      <c r="E408" s="163"/>
      <c r="F408" s="105"/>
      <c r="G408" s="105"/>
      <c r="H408" s="105"/>
      <c r="I408" s="105"/>
      <c r="J408" s="105"/>
      <c r="K408" s="105"/>
      <c r="L408" s="105">
        <v>3</v>
      </c>
      <c r="M408" s="105"/>
      <c r="N408" s="105"/>
      <c r="O408" s="105"/>
      <c r="P408" s="105"/>
      <c r="Q408" s="105"/>
      <c r="R408" s="105"/>
      <c r="S408" s="105"/>
      <c r="T408" s="106"/>
      <c r="U408" s="130"/>
      <c r="V408" s="1"/>
      <c r="W408" s="68">
        <f t="shared" si="97"/>
        <v>0</v>
      </c>
      <c r="X408" s="68">
        <f t="shared" si="98"/>
        <v>0</v>
      </c>
      <c r="Y408" s="68">
        <f t="shared" si="99"/>
        <v>0</v>
      </c>
      <c r="Z408" s="68">
        <f t="shared" si="100"/>
        <v>0</v>
      </c>
      <c r="AA408" s="68"/>
      <c r="AB408" s="68">
        <v>0</v>
      </c>
      <c r="AC408" s="69">
        <f t="shared" si="101"/>
        <v>0</v>
      </c>
      <c r="AD408" s="70">
        <v>0</v>
      </c>
      <c r="AE408" s="63">
        <v>40491</v>
      </c>
      <c r="AF408" s="72"/>
      <c r="AG408" s="63" t="s">
        <v>938</v>
      </c>
      <c r="AH408" s="23" t="s">
        <v>939</v>
      </c>
      <c r="AI408" s="60"/>
      <c r="AJ408" s="124" t="s">
        <v>1608</v>
      </c>
      <c r="AK408" s="121" t="s">
        <v>492</v>
      </c>
      <c r="AL408" s="107"/>
      <c r="AM408" s="108"/>
      <c r="AN408" s="109"/>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08"/>
      <c r="CM408" s="108"/>
      <c r="CN408" s="110"/>
      <c r="CO408" s="111"/>
      <c r="CP408" s="110"/>
      <c r="CQ408" s="111"/>
      <c r="CR408" s="110"/>
      <c r="CS408" s="111"/>
      <c r="CT408" s="112">
        <f t="shared" si="102"/>
        <v>0</v>
      </c>
      <c r="CU408" s="113"/>
      <c r="CV408" s="114"/>
      <c r="CW408" s="115"/>
      <c r="CX408" s="116"/>
      <c r="CY408" s="117"/>
      <c r="CZ408" s="116"/>
      <c r="DA408" s="113"/>
      <c r="DB408" s="114"/>
      <c r="DC408" s="64"/>
      <c r="DD408" s="118"/>
    </row>
    <row r="409" spans="1:108" ht="24" outlineLevel="2">
      <c r="A409" s="178">
        <v>40490</v>
      </c>
      <c r="B409" s="164" t="s">
        <v>1256</v>
      </c>
      <c r="C409" s="164" t="s">
        <v>744</v>
      </c>
      <c r="D409" s="165" t="s">
        <v>1182</v>
      </c>
      <c r="E409" s="163"/>
      <c r="F409" s="105"/>
      <c r="G409" s="105"/>
      <c r="H409" s="105">
        <f>30*5</f>
        <v>150</v>
      </c>
      <c r="I409" s="105">
        <v>30</v>
      </c>
      <c r="J409" s="105"/>
      <c r="K409" s="105"/>
      <c r="L409" s="105"/>
      <c r="M409" s="105"/>
      <c r="N409" s="105"/>
      <c r="O409" s="105"/>
      <c r="P409" s="105"/>
      <c r="Q409" s="105"/>
      <c r="R409" s="105">
        <v>1</v>
      </c>
      <c r="S409" s="105"/>
      <c r="T409" s="106"/>
      <c r="U409" s="130"/>
      <c r="V409" s="1"/>
      <c r="W409" s="68">
        <f t="shared" si="97"/>
        <v>0</v>
      </c>
      <c r="X409" s="68">
        <f t="shared" si="98"/>
        <v>0</v>
      </c>
      <c r="Y409" s="68">
        <f t="shared" si="99"/>
        <v>0</v>
      </c>
      <c r="Z409" s="68">
        <f t="shared" si="100"/>
        <v>0</v>
      </c>
      <c r="AA409" s="68"/>
      <c r="AB409" s="68">
        <v>0</v>
      </c>
      <c r="AC409" s="69">
        <f t="shared" si="101"/>
        <v>0</v>
      </c>
      <c r="AD409" s="70">
        <v>7050000</v>
      </c>
      <c r="AE409" s="63">
        <v>40492</v>
      </c>
      <c r="AF409" s="72"/>
      <c r="AG409" s="63" t="s">
        <v>954</v>
      </c>
      <c r="AH409" s="23" t="s">
        <v>955</v>
      </c>
      <c r="AI409" s="60"/>
      <c r="AJ409" s="124" t="s">
        <v>1608</v>
      </c>
      <c r="AK409" s="121" t="s">
        <v>511</v>
      </c>
      <c r="AL409" s="107"/>
      <c r="AM409" s="108"/>
      <c r="AN409" s="109"/>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08"/>
      <c r="CM409" s="108"/>
      <c r="CN409" s="110"/>
      <c r="CO409" s="111"/>
      <c r="CP409" s="110"/>
      <c r="CQ409" s="111"/>
      <c r="CR409" s="110"/>
      <c r="CS409" s="111"/>
      <c r="CT409" s="112">
        <f t="shared" si="102"/>
        <v>0</v>
      </c>
      <c r="CU409" s="113"/>
      <c r="CV409" s="114"/>
      <c r="CW409" s="115"/>
      <c r="CX409" s="116"/>
      <c r="CY409" s="117"/>
      <c r="CZ409" s="116"/>
      <c r="DA409" s="113"/>
      <c r="DB409" s="114"/>
      <c r="DC409" s="64"/>
      <c r="DD409" s="118"/>
    </row>
    <row r="410" spans="1:108" outlineLevel="2">
      <c r="A410" s="178">
        <v>40490</v>
      </c>
      <c r="B410" s="164" t="s">
        <v>1256</v>
      </c>
      <c r="C410" s="164" t="s">
        <v>1406</v>
      </c>
      <c r="D410" s="166" t="s">
        <v>1262</v>
      </c>
      <c r="E410" s="163"/>
      <c r="F410" s="105"/>
      <c r="G410" s="105"/>
      <c r="H410" s="105">
        <f>15*5</f>
        <v>75</v>
      </c>
      <c r="I410" s="105">
        <v>15</v>
      </c>
      <c r="J410" s="105"/>
      <c r="K410" s="105"/>
      <c r="L410" s="105"/>
      <c r="M410" s="105"/>
      <c r="N410" s="105"/>
      <c r="O410" s="105"/>
      <c r="P410" s="105"/>
      <c r="Q410" s="105"/>
      <c r="R410" s="105"/>
      <c r="S410" s="105"/>
      <c r="T410" s="106"/>
      <c r="U410" s="130" t="s">
        <v>414</v>
      </c>
      <c r="V410" s="1"/>
      <c r="W410" s="68">
        <f t="shared" si="97"/>
        <v>0</v>
      </c>
      <c r="X410" s="68">
        <f t="shared" si="98"/>
        <v>0</v>
      </c>
      <c r="Y410" s="68">
        <f t="shared" si="99"/>
        <v>0</v>
      </c>
      <c r="Z410" s="68">
        <f t="shared" si="100"/>
        <v>0</v>
      </c>
      <c r="AA410" s="68"/>
      <c r="AB410" s="68">
        <v>0</v>
      </c>
      <c r="AC410" s="69">
        <f t="shared" si="101"/>
        <v>0</v>
      </c>
      <c r="AD410" s="70">
        <v>0</v>
      </c>
      <c r="AE410" s="63">
        <v>40505</v>
      </c>
      <c r="AF410" s="72"/>
      <c r="AG410" s="63" t="s">
        <v>938</v>
      </c>
      <c r="AH410" s="23" t="s">
        <v>939</v>
      </c>
      <c r="AI410" s="60"/>
      <c r="AJ410" s="124" t="s">
        <v>1608</v>
      </c>
      <c r="AK410" s="121" t="s">
        <v>730</v>
      </c>
      <c r="AL410" s="107"/>
      <c r="AM410" s="108"/>
      <c r="AN410" s="109"/>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08"/>
      <c r="CM410" s="108"/>
      <c r="CN410" s="110"/>
      <c r="CO410" s="111"/>
      <c r="CP410" s="110"/>
      <c r="CQ410" s="111"/>
      <c r="CR410" s="110"/>
      <c r="CS410" s="111"/>
      <c r="CT410" s="112">
        <f t="shared" si="102"/>
        <v>0</v>
      </c>
      <c r="CU410" s="113"/>
      <c r="CV410" s="114"/>
      <c r="CW410" s="115"/>
      <c r="CX410" s="116"/>
      <c r="CY410" s="117"/>
      <c r="CZ410" s="116"/>
      <c r="DA410" s="113"/>
      <c r="DB410" s="114"/>
      <c r="DC410" s="64"/>
      <c r="DD410" s="118"/>
    </row>
    <row r="411" spans="1:108" ht="24" outlineLevel="2">
      <c r="A411" s="178">
        <v>40490</v>
      </c>
      <c r="B411" s="164" t="s">
        <v>1256</v>
      </c>
      <c r="C411" s="164" t="s">
        <v>566</v>
      </c>
      <c r="D411" s="165" t="s">
        <v>1182</v>
      </c>
      <c r="E411" s="163"/>
      <c r="F411" s="105"/>
      <c r="G411" s="105"/>
      <c r="H411" s="131">
        <f>50*5</f>
        <v>250</v>
      </c>
      <c r="I411" s="105">
        <v>50</v>
      </c>
      <c r="J411" s="105"/>
      <c r="K411" s="105"/>
      <c r="L411" s="105"/>
      <c r="M411" s="105"/>
      <c r="N411" s="105"/>
      <c r="O411" s="105"/>
      <c r="P411" s="105"/>
      <c r="Q411" s="105"/>
      <c r="R411" s="105">
        <v>1</v>
      </c>
      <c r="S411" s="105"/>
      <c r="T411" s="106"/>
      <c r="U411" s="130"/>
      <c r="V411" s="1"/>
      <c r="W411" s="68">
        <f t="shared" si="97"/>
        <v>0</v>
      </c>
      <c r="X411" s="68">
        <f t="shared" si="98"/>
        <v>0</v>
      </c>
      <c r="Y411" s="68">
        <f t="shared" si="99"/>
        <v>0</v>
      </c>
      <c r="Z411" s="68">
        <f t="shared" si="100"/>
        <v>0</v>
      </c>
      <c r="AA411" s="68"/>
      <c r="AB411" s="68">
        <v>0</v>
      </c>
      <c r="AC411" s="69">
        <f t="shared" si="101"/>
        <v>0</v>
      </c>
      <c r="AD411" s="70">
        <v>11750000</v>
      </c>
      <c r="AE411" s="63">
        <v>40494</v>
      </c>
      <c r="AF411" s="72"/>
      <c r="AG411" s="63" t="s">
        <v>954</v>
      </c>
      <c r="AH411" s="23" t="s">
        <v>955</v>
      </c>
      <c r="AI411" s="60"/>
      <c r="AJ411" s="124" t="s">
        <v>1608</v>
      </c>
      <c r="AK411" s="121" t="s">
        <v>585</v>
      </c>
      <c r="AL411" s="107"/>
      <c r="AM411" s="108"/>
      <c r="AN411" s="109"/>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08"/>
      <c r="CM411" s="108"/>
      <c r="CN411" s="110"/>
      <c r="CO411" s="111"/>
      <c r="CP411" s="110"/>
      <c r="CQ411" s="111"/>
      <c r="CR411" s="110"/>
      <c r="CS411" s="111"/>
      <c r="CT411" s="112">
        <f t="shared" si="102"/>
        <v>0</v>
      </c>
      <c r="CU411" s="113"/>
      <c r="CV411" s="114"/>
      <c r="CW411" s="115"/>
      <c r="CX411" s="116"/>
      <c r="CY411" s="117"/>
      <c r="CZ411" s="116"/>
      <c r="DA411" s="113"/>
      <c r="DB411" s="114"/>
      <c r="DC411" s="64"/>
      <c r="DD411" s="118"/>
    </row>
    <row r="412" spans="1:108" ht="36" outlineLevel="2">
      <c r="A412" s="178">
        <v>40490</v>
      </c>
      <c r="B412" s="164" t="s">
        <v>1256</v>
      </c>
      <c r="C412" s="164" t="s">
        <v>824</v>
      </c>
      <c r="D412" s="165" t="s">
        <v>1182</v>
      </c>
      <c r="E412" s="163"/>
      <c r="F412" s="105"/>
      <c r="G412" s="105"/>
      <c r="H412" s="105">
        <v>30</v>
      </c>
      <c r="I412" s="105">
        <v>6</v>
      </c>
      <c r="J412" s="105">
        <v>6</v>
      </c>
      <c r="K412" s="105"/>
      <c r="L412" s="105">
        <v>1</v>
      </c>
      <c r="M412" s="105"/>
      <c r="N412" s="105"/>
      <c r="O412" s="105"/>
      <c r="P412" s="105"/>
      <c r="Q412" s="105"/>
      <c r="R412" s="105"/>
      <c r="S412" s="105"/>
      <c r="T412" s="106"/>
      <c r="U412" s="130"/>
      <c r="V412" s="1"/>
      <c r="W412" s="68">
        <f t="shared" si="97"/>
        <v>0</v>
      </c>
      <c r="X412" s="68">
        <f t="shared" si="98"/>
        <v>0</v>
      </c>
      <c r="Y412" s="68">
        <f t="shared" si="99"/>
        <v>0</v>
      </c>
      <c r="Z412" s="68">
        <f t="shared" si="100"/>
        <v>0</v>
      </c>
      <c r="AA412" s="68"/>
      <c r="AB412" s="68">
        <v>0</v>
      </c>
      <c r="AC412" s="69">
        <f t="shared" si="101"/>
        <v>0</v>
      </c>
      <c r="AD412" s="70">
        <v>4700000</v>
      </c>
      <c r="AE412" s="63">
        <v>40492</v>
      </c>
      <c r="AF412" s="72"/>
      <c r="AG412" s="63" t="s">
        <v>954</v>
      </c>
      <c r="AH412" s="23" t="s">
        <v>955</v>
      </c>
      <c r="AI412" s="60"/>
      <c r="AJ412" s="124" t="s">
        <v>1608</v>
      </c>
      <c r="AK412" s="121" t="s">
        <v>512</v>
      </c>
      <c r="AL412" s="107"/>
      <c r="AM412" s="108"/>
      <c r="AN412" s="109"/>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08"/>
      <c r="CM412" s="108"/>
      <c r="CN412" s="110"/>
      <c r="CO412" s="111"/>
      <c r="CP412" s="110"/>
      <c r="CQ412" s="111"/>
      <c r="CR412" s="110"/>
      <c r="CS412" s="111"/>
      <c r="CT412" s="112">
        <f t="shared" si="102"/>
        <v>0</v>
      </c>
      <c r="CU412" s="113"/>
      <c r="CV412" s="114"/>
      <c r="CW412" s="115"/>
      <c r="CX412" s="116"/>
      <c r="CY412" s="117"/>
      <c r="CZ412" s="116"/>
      <c r="DA412" s="113"/>
      <c r="DB412" s="114"/>
      <c r="DC412" s="64"/>
      <c r="DD412" s="118"/>
    </row>
    <row r="413" spans="1:108" ht="36" outlineLevel="2">
      <c r="A413" s="178">
        <v>40491</v>
      </c>
      <c r="B413" s="164" t="s">
        <v>1256</v>
      </c>
      <c r="C413" s="164" t="s">
        <v>706</v>
      </c>
      <c r="D413" s="166" t="s">
        <v>1262</v>
      </c>
      <c r="E413" s="163"/>
      <c r="F413" s="105"/>
      <c r="G413" s="105"/>
      <c r="H413" s="105">
        <v>25</v>
      </c>
      <c r="I413" s="105">
        <v>5</v>
      </c>
      <c r="J413" s="105"/>
      <c r="K413" s="105">
        <v>5</v>
      </c>
      <c r="L413" s="105"/>
      <c r="M413" s="105"/>
      <c r="N413" s="105"/>
      <c r="O413" s="105"/>
      <c r="P413" s="105"/>
      <c r="Q413" s="105"/>
      <c r="R413" s="105"/>
      <c r="S413" s="105"/>
      <c r="T413" s="106"/>
      <c r="U413" s="130" t="s">
        <v>708</v>
      </c>
      <c r="V413" s="1"/>
      <c r="W413" s="68">
        <f t="shared" si="97"/>
        <v>0</v>
      </c>
      <c r="X413" s="68">
        <f t="shared" si="98"/>
        <v>0</v>
      </c>
      <c r="Y413" s="68">
        <f t="shared" si="99"/>
        <v>0</v>
      </c>
      <c r="Z413" s="68">
        <f t="shared" si="100"/>
        <v>0</v>
      </c>
      <c r="AA413" s="68"/>
      <c r="AB413" s="68">
        <v>0</v>
      </c>
      <c r="AC413" s="69">
        <f t="shared" si="101"/>
        <v>0</v>
      </c>
      <c r="AD413" s="70">
        <v>0</v>
      </c>
      <c r="AE413" s="63">
        <v>40505</v>
      </c>
      <c r="AF413" s="72"/>
      <c r="AG413" s="63" t="s">
        <v>938</v>
      </c>
      <c r="AH413" s="23" t="s">
        <v>939</v>
      </c>
      <c r="AI413" s="60"/>
      <c r="AJ413" s="124" t="s">
        <v>1608</v>
      </c>
      <c r="AK413" s="121" t="s">
        <v>707</v>
      </c>
      <c r="AL413" s="107"/>
      <c r="AM413" s="108"/>
      <c r="AN413" s="109"/>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08"/>
      <c r="CM413" s="108"/>
      <c r="CN413" s="110"/>
      <c r="CO413" s="111"/>
      <c r="CP413" s="110"/>
      <c r="CQ413" s="111"/>
      <c r="CR413" s="110"/>
      <c r="CS413" s="111"/>
      <c r="CT413" s="112">
        <f t="shared" si="102"/>
        <v>0</v>
      </c>
      <c r="CU413" s="113"/>
      <c r="CV413" s="114"/>
      <c r="CW413" s="115"/>
      <c r="CX413" s="116"/>
      <c r="CY413" s="117"/>
      <c r="CZ413" s="116"/>
      <c r="DA413" s="113"/>
      <c r="DB413" s="114"/>
      <c r="DC413" s="64"/>
      <c r="DD413" s="118"/>
    </row>
    <row r="414" spans="1:108" ht="48" outlineLevel="2">
      <c r="A414" s="178">
        <v>40491</v>
      </c>
      <c r="B414" s="164" t="s">
        <v>1256</v>
      </c>
      <c r="C414" s="164" t="s">
        <v>1212</v>
      </c>
      <c r="D414" s="166" t="s">
        <v>1262</v>
      </c>
      <c r="E414" s="163"/>
      <c r="F414" s="105"/>
      <c r="G414" s="105"/>
      <c r="H414" s="105">
        <v>3000</v>
      </c>
      <c r="I414" s="105">
        <v>600</v>
      </c>
      <c r="J414" s="105"/>
      <c r="K414" s="105">
        <v>600</v>
      </c>
      <c r="L414" s="105"/>
      <c r="M414" s="105"/>
      <c r="N414" s="105"/>
      <c r="O414" s="105"/>
      <c r="P414" s="105"/>
      <c r="Q414" s="105"/>
      <c r="R414" s="105"/>
      <c r="S414" s="105"/>
      <c r="T414" s="106"/>
      <c r="U414" s="130"/>
      <c r="V414" s="1"/>
      <c r="W414" s="68">
        <f t="shared" si="97"/>
        <v>0</v>
      </c>
      <c r="X414" s="68">
        <f t="shared" si="98"/>
        <v>0</v>
      </c>
      <c r="Y414" s="68">
        <f t="shared" si="99"/>
        <v>0</v>
      </c>
      <c r="Z414" s="68">
        <f t="shared" si="100"/>
        <v>0</v>
      </c>
      <c r="AA414" s="68"/>
      <c r="AB414" s="68">
        <v>0</v>
      </c>
      <c r="AC414" s="69">
        <f t="shared" si="101"/>
        <v>0</v>
      </c>
      <c r="AD414" s="70">
        <v>120900000</v>
      </c>
      <c r="AE414" s="63">
        <v>40504</v>
      </c>
      <c r="AF414" s="72"/>
      <c r="AG414" s="63" t="s">
        <v>954</v>
      </c>
      <c r="AH414" s="23" t="s">
        <v>955</v>
      </c>
      <c r="AI414" s="60"/>
      <c r="AJ414" s="124" t="s">
        <v>1336</v>
      </c>
      <c r="AK414" s="121" t="s">
        <v>683</v>
      </c>
      <c r="AL414" s="107"/>
      <c r="AM414" s="108"/>
      <c r="AN414" s="109"/>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08"/>
      <c r="CM414" s="108"/>
      <c r="CN414" s="110"/>
      <c r="CO414" s="111"/>
      <c r="CP414" s="110"/>
      <c r="CQ414" s="111"/>
      <c r="CR414" s="110"/>
      <c r="CS414" s="111"/>
      <c r="CT414" s="112">
        <f t="shared" si="102"/>
        <v>0</v>
      </c>
      <c r="CU414" s="113"/>
      <c r="CV414" s="114"/>
      <c r="CW414" s="115"/>
      <c r="CX414" s="116"/>
      <c r="CY414" s="117"/>
      <c r="CZ414" s="116"/>
      <c r="DA414" s="113"/>
      <c r="DB414" s="114"/>
      <c r="DC414" s="64"/>
      <c r="DD414" s="118"/>
    </row>
    <row r="415" spans="1:108" ht="48" outlineLevel="2">
      <c r="A415" s="178">
        <v>40492</v>
      </c>
      <c r="B415" s="164" t="s">
        <v>1256</v>
      </c>
      <c r="C415" s="164" t="s">
        <v>688</v>
      </c>
      <c r="D415" s="166" t="s">
        <v>1262</v>
      </c>
      <c r="E415" s="163"/>
      <c r="F415" s="105"/>
      <c r="G415" s="105"/>
      <c r="H415" s="105">
        <f>150*5</f>
        <v>750</v>
      </c>
      <c r="I415" s="105">
        <v>150</v>
      </c>
      <c r="J415" s="105"/>
      <c r="K415" s="105">
        <v>150</v>
      </c>
      <c r="L415" s="105">
        <v>4</v>
      </c>
      <c r="M415" s="105"/>
      <c r="N415" s="105"/>
      <c r="O415" s="105"/>
      <c r="P415" s="105"/>
      <c r="Q415" s="105"/>
      <c r="R415" s="105"/>
      <c r="S415" s="105"/>
      <c r="T415" s="106"/>
      <c r="U415" s="130"/>
      <c r="V415" s="1"/>
      <c r="W415" s="68">
        <f t="shared" si="97"/>
        <v>0</v>
      </c>
      <c r="X415" s="68">
        <f t="shared" si="98"/>
        <v>0</v>
      </c>
      <c r="Y415" s="68">
        <f t="shared" si="99"/>
        <v>0</v>
      </c>
      <c r="Z415" s="68">
        <f t="shared" si="100"/>
        <v>0</v>
      </c>
      <c r="AA415" s="68"/>
      <c r="AB415" s="68">
        <v>0</v>
      </c>
      <c r="AC415" s="69">
        <f t="shared" si="101"/>
        <v>0</v>
      </c>
      <c r="AD415" s="70">
        <v>35250000</v>
      </c>
      <c r="AE415" s="63">
        <v>40504</v>
      </c>
      <c r="AF415" s="72"/>
      <c r="AG415" s="63" t="s">
        <v>954</v>
      </c>
      <c r="AH415" s="23" t="s">
        <v>955</v>
      </c>
      <c r="AI415" s="60"/>
      <c r="AJ415" s="124" t="s">
        <v>1336</v>
      </c>
      <c r="AK415" s="121" t="s">
        <v>129</v>
      </c>
      <c r="AL415" s="107"/>
      <c r="AM415" s="108"/>
      <c r="AN415" s="109"/>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08"/>
      <c r="CM415" s="108"/>
      <c r="CN415" s="110"/>
      <c r="CO415" s="111"/>
      <c r="CP415" s="110"/>
      <c r="CQ415" s="111"/>
      <c r="CR415" s="110"/>
      <c r="CS415" s="111"/>
      <c r="CT415" s="112">
        <f t="shared" si="102"/>
        <v>0</v>
      </c>
      <c r="CU415" s="113"/>
      <c r="CV415" s="114"/>
      <c r="CW415" s="115"/>
      <c r="CX415" s="116"/>
      <c r="CY415" s="117"/>
      <c r="CZ415" s="116"/>
      <c r="DA415" s="113"/>
      <c r="DB415" s="114"/>
      <c r="DC415" s="64"/>
      <c r="DD415" s="118"/>
    </row>
    <row r="416" spans="1:108" ht="33.75" outlineLevel="2">
      <c r="A416" s="178">
        <v>40492</v>
      </c>
      <c r="B416" s="164" t="s">
        <v>1256</v>
      </c>
      <c r="C416" s="164" t="s">
        <v>2038</v>
      </c>
      <c r="D416" s="166" t="s">
        <v>1262</v>
      </c>
      <c r="E416" s="163"/>
      <c r="F416" s="105"/>
      <c r="G416" s="105"/>
      <c r="H416" s="105">
        <f>60*5</f>
        <v>300</v>
      </c>
      <c r="I416" s="105">
        <v>60</v>
      </c>
      <c r="J416" s="105"/>
      <c r="K416" s="105"/>
      <c r="L416" s="105"/>
      <c r="M416" s="105"/>
      <c r="N416" s="105"/>
      <c r="O416" s="105"/>
      <c r="P416" s="105"/>
      <c r="Q416" s="105"/>
      <c r="R416" s="105"/>
      <c r="S416" s="105"/>
      <c r="T416" s="106">
        <v>42</v>
      </c>
      <c r="U416" s="130" t="s">
        <v>705</v>
      </c>
      <c r="V416" s="1"/>
      <c r="W416" s="68">
        <f t="shared" si="97"/>
        <v>0</v>
      </c>
      <c r="X416" s="68">
        <f t="shared" si="98"/>
        <v>0</v>
      </c>
      <c r="Y416" s="68">
        <f t="shared" si="99"/>
        <v>0</v>
      </c>
      <c r="Z416" s="68">
        <f t="shared" si="100"/>
        <v>0</v>
      </c>
      <c r="AA416" s="68"/>
      <c r="AB416" s="68">
        <v>0</v>
      </c>
      <c r="AC416" s="69">
        <f t="shared" si="101"/>
        <v>0</v>
      </c>
      <c r="AD416" s="70">
        <v>14100000</v>
      </c>
      <c r="AE416" s="63">
        <v>40504</v>
      </c>
      <c r="AF416" s="72"/>
      <c r="AG416" s="63" t="s">
        <v>954</v>
      </c>
      <c r="AH416" s="23" t="s">
        <v>955</v>
      </c>
      <c r="AI416" s="60"/>
      <c r="AJ416" s="124" t="s">
        <v>1336</v>
      </c>
      <c r="AK416" s="121" t="s">
        <v>704</v>
      </c>
      <c r="AL416" s="107"/>
      <c r="AM416" s="108"/>
      <c r="AN416" s="109"/>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08"/>
      <c r="CM416" s="108"/>
      <c r="CN416" s="110"/>
      <c r="CO416" s="111"/>
      <c r="CP416" s="110"/>
      <c r="CQ416" s="111"/>
      <c r="CR416" s="110"/>
      <c r="CS416" s="111"/>
      <c r="CT416" s="112">
        <f t="shared" si="102"/>
        <v>0</v>
      </c>
      <c r="CU416" s="113"/>
      <c r="CV416" s="114"/>
      <c r="CW416" s="115"/>
      <c r="CX416" s="116"/>
      <c r="CY416" s="117"/>
      <c r="CZ416" s="116"/>
      <c r="DA416" s="113"/>
      <c r="DB416" s="114"/>
      <c r="DC416" s="64"/>
      <c r="DD416" s="118"/>
    </row>
    <row r="417" spans="1:108" ht="33.75" outlineLevel="2">
      <c r="A417" s="178">
        <v>40492</v>
      </c>
      <c r="B417" s="164" t="s">
        <v>1256</v>
      </c>
      <c r="C417" s="164" t="s">
        <v>1205</v>
      </c>
      <c r="D417" s="166" t="s">
        <v>1262</v>
      </c>
      <c r="E417" s="163"/>
      <c r="F417" s="105"/>
      <c r="G417" s="105"/>
      <c r="H417" s="105">
        <f>50*5</f>
        <v>250</v>
      </c>
      <c r="I417" s="105">
        <v>50</v>
      </c>
      <c r="J417" s="105"/>
      <c r="K417" s="105">
        <v>50</v>
      </c>
      <c r="L417" s="105"/>
      <c r="M417" s="105"/>
      <c r="N417" s="105"/>
      <c r="O417" s="105"/>
      <c r="P417" s="105"/>
      <c r="Q417" s="105"/>
      <c r="R417" s="105"/>
      <c r="S417" s="105"/>
      <c r="T417" s="106"/>
      <c r="U417" s="130"/>
      <c r="V417" s="1"/>
      <c r="W417" s="68">
        <f t="shared" si="97"/>
        <v>0</v>
      </c>
      <c r="X417" s="68">
        <f t="shared" si="98"/>
        <v>0</v>
      </c>
      <c r="Y417" s="68">
        <f t="shared" si="99"/>
        <v>0</v>
      </c>
      <c r="Z417" s="68">
        <f t="shared" si="100"/>
        <v>0</v>
      </c>
      <c r="AA417" s="68"/>
      <c r="AB417" s="68">
        <v>0</v>
      </c>
      <c r="AC417" s="69">
        <f t="shared" si="101"/>
        <v>0</v>
      </c>
      <c r="AD417" s="70">
        <v>11750000</v>
      </c>
      <c r="AE417" s="63">
        <v>40504</v>
      </c>
      <c r="AF417" s="72"/>
      <c r="AG417" s="63" t="s">
        <v>954</v>
      </c>
      <c r="AH417" s="23" t="s">
        <v>955</v>
      </c>
      <c r="AI417" s="60"/>
      <c r="AJ417" s="124" t="s">
        <v>1336</v>
      </c>
      <c r="AK417" s="121" t="s">
        <v>41</v>
      </c>
      <c r="AL417" s="107"/>
      <c r="AM417" s="108"/>
      <c r="AN417" s="109"/>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08"/>
      <c r="CM417" s="108"/>
      <c r="CN417" s="110"/>
      <c r="CO417" s="111"/>
      <c r="CP417" s="110"/>
      <c r="CQ417" s="111"/>
      <c r="CR417" s="110"/>
      <c r="CS417" s="111"/>
      <c r="CT417" s="112">
        <f t="shared" si="102"/>
        <v>0</v>
      </c>
      <c r="CU417" s="113"/>
      <c r="CV417" s="114"/>
      <c r="CW417" s="115"/>
      <c r="CX417" s="116"/>
      <c r="CY417" s="117"/>
      <c r="CZ417" s="116"/>
      <c r="DA417" s="113"/>
      <c r="DB417" s="114"/>
      <c r="DC417" s="64"/>
      <c r="DD417" s="118"/>
    </row>
    <row r="418" spans="1:108" ht="33.75" outlineLevel="2">
      <c r="A418" s="178">
        <v>40492</v>
      </c>
      <c r="B418" s="164" t="s">
        <v>1256</v>
      </c>
      <c r="C418" s="164" t="s">
        <v>685</v>
      </c>
      <c r="D418" s="165" t="s">
        <v>1182</v>
      </c>
      <c r="E418" s="163"/>
      <c r="F418" s="105"/>
      <c r="G418" s="105"/>
      <c r="H418" s="105">
        <v>500</v>
      </c>
      <c r="I418" s="105">
        <v>100</v>
      </c>
      <c r="J418" s="105"/>
      <c r="K418" s="105">
        <v>100</v>
      </c>
      <c r="L418" s="105"/>
      <c r="M418" s="105"/>
      <c r="N418" s="105"/>
      <c r="O418" s="105"/>
      <c r="P418" s="105"/>
      <c r="Q418" s="105"/>
      <c r="R418" s="105"/>
      <c r="S418" s="105"/>
      <c r="T418" s="106"/>
      <c r="U418" s="130"/>
      <c r="V418" s="1"/>
      <c r="W418" s="68">
        <f t="shared" si="97"/>
        <v>0</v>
      </c>
      <c r="X418" s="68">
        <f t="shared" si="98"/>
        <v>0</v>
      </c>
      <c r="Y418" s="68">
        <f t="shared" si="99"/>
        <v>0</v>
      </c>
      <c r="Z418" s="68">
        <f t="shared" si="100"/>
        <v>0</v>
      </c>
      <c r="AA418" s="68"/>
      <c r="AB418" s="68">
        <v>0</v>
      </c>
      <c r="AC418" s="69">
        <f t="shared" si="101"/>
        <v>0</v>
      </c>
      <c r="AD418" s="70">
        <v>18800000</v>
      </c>
      <c r="AE418" s="63">
        <v>40504</v>
      </c>
      <c r="AF418" s="72"/>
      <c r="AG418" s="63" t="s">
        <v>954</v>
      </c>
      <c r="AH418" s="23" t="s">
        <v>955</v>
      </c>
      <c r="AI418" s="60"/>
      <c r="AJ418" s="124" t="s">
        <v>1336</v>
      </c>
      <c r="AK418" s="121" t="s">
        <v>709</v>
      </c>
      <c r="AL418" s="107"/>
      <c r="AM418" s="108"/>
      <c r="AN418" s="109"/>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08"/>
      <c r="CM418" s="108"/>
      <c r="CN418" s="110"/>
      <c r="CO418" s="111"/>
      <c r="CP418" s="110"/>
      <c r="CQ418" s="111"/>
      <c r="CR418" s="110"/>
      <c r="CS418" s="111"/>
      <c r="CT418" s="112">
        <f t="shared" si="102"/>
        <v>0</v>
      </c>
      <c r="CU418" s="113"/>
      <c r="CV418" s="114"/>
      <c r="CW418" s="115"/>
      <c r="CX418" s="116"/>
      <c r="CY418" s="117"/>
      <c r="CZ418" s="116"/>
      <c r="DA418" s="113"/>
      <c r="DB418" s="114"/>
      <c r="DC418" s="64"/>
      <c r="DD418" s="118"/>
    </row>
    <row r="419" spans="1:108" ht="33.75" outlineLevel="2">
      <c r="A419" s="178">
        <v>40492</v>
      </c>
      <c r="B419" s="164" t="s">
        <v>1256</v>
      </c>
      <c r="C419" s="164" t="s">
        <v>1207</v>
      </c>
      <c r="D419" s="166" t="s">
        <v>1262</v>
      </c>
      <c r="E419" s="163"/>
      <c r="F419" s="105"/>
      <c r="G419" s="105"/>
      <c r="H419" s="105">
        <f>60*5</f>
        <v>300</v>
      </c>
      <c r="I419" s="105">
        <v>60</v>
      </c>
      <c r="J419" s="105"/>
      <c r="K419" s="105">
        <v>60</v>
      </c>
      <c r="L419" s="105"/>
      <c r="M419" s="105"/>
      <c r="N419" s="105"/>
      <c r="O419" s="105"/>
      <c r="P419" s="105"/>
      <c r="Q419" s="105"/>
      <c r="R419" s="105"/>
      <c r="S419" s="105"/>
      <c r="T419" s="106"/>
      <c r="U419" s="130"/>
      <c r="V419" s="1"/>
      <c r="W419" s="68">
        <f t="shared" si="97"/>
        <v>0</v>
      </c>
      <c r="X419" s="68">
        <f t="shared" si="98"/>
        <v>0</v>
      </c>
      <c r="Y419" s="68">
        <f t="shared" si="99"/>
        <v>0</v>
      </c>
      <c r="Z419" s="68">
        <f t="shared" si="100"/>
        <v>0</v>
      </c>
      <c r="AA419" s="68"/>
      <c r="AB419" s="68">
        <v>0</v>
      </c>
      <c r="AC419" s="69">
        <f t="shared" si="101"/>
        <v>0</v>
      </c>
      <c r="AD419" s="70">
        <v>14100000</v>
      </c>
      <c r="AE419" s="63">
        <v>40504</v>
      </c>
      <c r="AF419" s="72"/>
      <c r="AG419" s="63" t="s">
        <v>954</v>
      </c>
      <c r="AH419" s="23" t="s">
        <v>955</v>
      </c>
      <c r="AI419" s="60"/>
      <c r="AJ419" s="124" t="s">
        <v>1336</v>
      </c>
      <c r="AK419" s="121" t="s">
        <v>1612</v>
      </c>
      <c r="AL419" s="107"/>
      <c r="AM419" s="108"/>
      <c r="AN419" s="109"/>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08"/>
      <c r="CM419" s="108"/>
      <c r="CN419" s="110"/>
      <c r="CO419" s="111"/>
      <c r="CP419" s="110"/>
      <c r="CQ419" s="111"/>
      <c r="CR419" s="110"/>
      <c r="CS419" s="111"/>
      <c r="CT419" s="112">
        <f t="shared" si="102"/>
        <v>0</v>
      </c>
      <c r="CU419" s="113"/>
      <c r="CV419" s="114"/>
      <c r="CW419" s="115"/>
      <c r="CX419" s="116"/>
      <c r="CY419" s="117"/>
      <c r="CZ419" s="116"/>
      <c r="DA419" s="113"/>
      <c r="DB419" s="114"/>
      <c r="DC419" s="64"/>
      <c r="DD419" s="118"/>
    </row>
    <row r="420" spans="1:108" ht="33.75" outlineLevel="2">
      <c r="A420" s="178">
        <v>40492</v>
      </c>
      <c r="B420" s="164" t="s">
        <v>1256</v>
      </c>
      <c r="C420" s="164" t="s">
        <v>828</v>
      </c>
      <c r="D420" s="165" t="s">
        <v>1182</v>
      </c>
      <c r="E420" s="163"/>
      <c r="F420" s="105"/>
      <c r="G420" s="105"/>
      <c r="H420" s="105">
        <f>30*5</f>
        <v>150</v>
      </c>
      <c r="I420" s="105">
        <v>30</v>
      </c>
      <c r="J420" s="105"/>
      <c r="K420" s="105"/>
      <c r="L420" s="105"/>
      <c r="M420" s="105"/>
      <c r="N420" s="105"/>
      <c r="O420" s="105"/>
      <c r="P420" s="105"/>
      <c r="Q420" s="105"/>
      <c r="R420" s="105"/>
      <c r="S420" s="105"/>
      <c r="T420" s="106"/>
      <c r="U420" s="130"/>
      <c r="V420" s="1"/>
      <c r="W420" s="68">
        <f t="shared" ref="W420:W437" si="103">CT420</f>
        <v>0</v>
      </c>
      <c r="X420" s="68">
        <f t="shared" ref="X420:X437" si="104">CX420</f>
        <v>0</v>
      </c>
      <c r="Y420" s="68">
        <f t="shared" ref="Y420:Y437" si="105">CZ420+DB420</f>
        <v>0</v>
      </c>
      <c r="Z420" s="68">
        <f t="shared" ref="Z420:Z437" si="106">CV420</f>
        <v>0</v>
      </c>
      <c r="AA420" s="68"/>
      <c r="AB420" s="68">
        <v>0</v>
      </c>
      <c r="AC420" s="69">
        <f t="shared" ref="AC420:AC437" si="107">W420+X420+Y420+Z420+AA420+AB420</f>
        <v>0</v>
      </c>
      <c r="AD420" s="70">
        <v>7050000</v>
      </c>
      <c r="AE420" s="63">
        <v>40504</v>
      </c>
      <c r="AF420" s="72"/>
      <c r="AG420" s="63" t="s">
        <v>954</v>
      </c>
      <c r="AH420" s="23" t="s">
        <v>955</v>
      </c>
      <c r="AI420" s="60"/>
      <c r="AJ420" s="124" t="s">
        <v>1336</v>
      </c>
      <c r="AK420" s="121" t="s">
        <v>1612</v>
      </c>
      <c r="AL420" s="107"/>
      <c r="AM420" s="108"/>
      <c r="AN420" s="109"/>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08"/>
      <c r="CM420" s="108"/>
      <c r="CN420" s="110"/>
      <c r="CO420" s="111"/>
      <c r="CP420" s="110"/>
      <c r="CQ420" s="111"/>
      <c r="CR420" s="110"/>
      <c r="CS420" s="111"/>
      <c r="CT420" s="112">
        <f t="shared" ref="CT420:CT437" si="108">AM420+AO420+AQ420+AS420+AU420+AW420+AY420+BA420+BC420+BE420+BG420+BI420+BK420+BM420+BO420+BQ420+BS420+BU420+BW420+BY420+CA420+CC420+CE420+CG420+CI420+CK420+CM420+CO420+CQ420+CS420</f>
        <v>0</v>
      </c>
      <c r="CU420" s="113"/>
      <c r="CV420" s="114"/>
      <c r="CW420" s="115"/>
      <c r="CX420" s="116"/>
      <c r="CY420" s="117"/>
      <c r="CZ420" s="116"/>
      <c r="DA420" s="113"/>
      <c r="DB420" s="114"/>
      <c r="DC420" s="64"/>
      <c r="DD420" s="118"/>
    </row>
    <row r="421" spans="1:108" ht="33.75" outlineLevel="2">
      <c r="A421" s="178">
        <v>40492</v>
      </c>
      <c r="B421" s="164" t="s">
        <v>1256</v>
      </c>
      <c r="C421" s="164" t="s">
        <v>2306</v>
      </c>
      <c r="D421" s="166" t="s">
        <v>1262</v>
      </c>
      <c r="E421" s="163"/>
      <c r="F421" s="105"/>
      <c r="G421" s="105"/>
      <c r="H421" s="105">
        <f>20*5</f>
        <v>100</v>
      </c>
      <c r="I421" s="105">
        <v>20</v>
      </c>
      <c r="J421" s="105"/>
      <c r="K421" s="105">
        <v>20</v>
      </c>
      <c r="L421" s="105"/>
      <c r="M421" s="105"/>
      <c r="N421" s="105"/>
      <c r="O421" s="105"/>
      <c r="P421" s="105"/>
      <c r="Q421" s="105"/>
      <c r="R421" s="105"/>
      <c r="S421" s="105"/>
      <c r="T421" s="106"/>
      <c r="U421" s="130"/>
      <c r="V421" s="1"/>
      <c r="W421" s="68">
        <f t="shared" si="103"/>
        <v>0</v>
      </c>
      <c r="X421" s="68">
        <f t="shared" si="104"/>
        <v>0</v>
      </c>
      <c r="Y421" s="68">
        <f t="shared" si="105"/>
        <v>0</v>
      </c>
      <c r="Z421" s="68">
        <f t="shared" si="106"/>
        <v>0</v>
      </c>
      <c r="AA421" s="68"/>
      <c r="AB421" s="68">
        <v>0</v>
      </c>
      <c r="AC421" s="69">
        <f t="shared" si="107"/>
        <v>0</v>
      </c>
      <c r="AD421" s="70">
        <v>4700000</v>
      </c>
      <c r="AE421" s="63">
        <v>40504</v>
      </c>
      <c r="AF421" s="72"/>
      <c r="AG421" s="63" t="s">
        <v>954</v>
      </c>
      <c r="AH421" s="23" t="s">
        <v>955</v>
      </c>
      <c r="AI421" s="60"/>
      <c r="AJ421" s="124" t="s">
        <v>1336</v>
      </c>
      <c r="AK421" s="121" t="s">
        <v>1612</v>
      </c>
      <c r="AL421" s="107"/>
      <c r="AM421" s="108"/>
      <c r="AN421" s="109"/>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08"/>
      <c r="CM421" s="108"/>
      <c r="CN421" s="110"/>
      <c r="CO421" s="111"/>
      <c r="CP421" s="110"/>
      <c r="CQ421" s="111"/>
      <c r="CR421" s="110"/>
      <c r="CS421" s="111"/>
      <c r="CT421" s="112">
        <f t="shared" si="108"/>
        <v>0</v>
      </c>
      <c r="CU421" s="113"/>
      <c r="CV421" s="114"/>
      <c r="CW421" s="115"/>
      <c r="CX421" s="116"/>
      <c r="CY421" s="117"/>
      <c r="CZ421" s="116"/>
      <c r="DA421" s="113"/>
      <c r="DB421" s="114"/>
      <c r="DC421" s="64"/>
      <c r="DD421" s="118"/>
    </row>
    <row r="422" spans="1:108" ht="24" outlineLevel="2">
      <c r="A422" s="178">
        <v>40492</v>
      </c>
      <c r="B422" s="164" t="s">
        <v>1256</v>
      </c>
      <c r="C422" s="164" t="s">
        <v>1705</v>
      </c>
      <c r="D422" s="166" t="s">
        <v>1262</v>
      </c>
      <c r="E422" s="163"/>
      <c r="F422" s="105"/>
      <c r="G422" s="105"/>
      <c r="H422" s="105">
        <v>10</v>
      </c>
      <c r="I422" s="105">
        <v>2</v>
      </c>
      <c r="J422" s="105"/>
      <c r="K422" s="105">
        <v>2</v>
      </c>
      <c r="L422" s="105"/>
      <c r="M422" s="105"/>
      <c r="N422" s="105"/>
      <c r="O422" s="105"/>
      <c r="P422" s="105"/>
      <c r="Q422" s="105"/>
      <c r="R422" s="105"/>
      <c r="S422" s="105"/>
      <c r="T422" s="106"/>
      <c r="U422" s="130"/>
      <c r="V422" s="1"/>
      <c r="W422" s="68">
        <f t="shared" si="103"/>
        <v>0</v>
      </c>
      <c r="X422" s="68">
        <f t="shared" si="104"/>
        <v>0</v>
      </c>
      <c r="Y422" s="68">
        <f t="shared" si="105"/>
        <v>0</v>
      </c>
      <c r="Z422" s="68">
        <f t="shared" si="106"/>
        <v>0</v>
      </c>
      <c r="AA422" s="68"/>
      <c r="AB422" s="68">
        <v>0</v>
      </c>
      <c r="AC422" s="69">
        <f t="shared" si="107"/>
        <v>0</v>
      </c>
      <c r="AD422" s="70">
        <v>0</v>
      </c>
      <c r="AE422" s="63">
        <v>40494</v>
      </c>
      <c r="AF422" s="72"/>
      <c r="AG422" s="63" t="s">
        <v>938</v>
      </c>
      <c r="AH422" s="23" t="s">
        <v>939</v>
      </c>
      <c r="AI422" s="60"/>
      <c r="AJ422" s="124" t="s">
        <v>1608</v>
      </c>
      <c r="AK422" s="121" t="s">
        <v>605</v>
      </c>
      <c r="AL422" s="107"/>
      <c r="AM422" s="108"/>
      <c r="AN422" s="109"/>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08"/>
      <c r="CM422" s="108"/>
      <c r="CN422" s="110"/>
      <c r="CO422" s="111"/>
      <c r="CP422" s="110"/>
      <c r="CQ422" s="111"/>
      <c r="CR422" s="110"/>
      <c r="CS422" s="111"/>
      <c r="CT422" s="112">
        <f t="shared" si="108"/>
        <v>0</v>
      </c>
      <c r="CU422" s="113"/>
      <c r="CV422" s="114"/>
      <c r="CW422" s="115"/>
      <c r="CX422" s="116"/>
      <c r="CY422" s="117"/>
      <c r="CZ422" s="116"/>
      <c r="DA422" s="113"/>
      <c r="DB422" s="114"/>
      <c r="DC422" s="64"/>
      <c r="DD422" s="118"/>
    </row>
    <row r="423" spans="1:108" ht="33.75" outlineLevel="2">
      <c r="A423" s="178">
        <v>40492</v>
      </c>
      <c r="B423" s="164" t="s">
        <v>1256</v>
      </c>
      <c r="C423" s="164" t="s">
        <v>687</v>
      </c>
      <c r="D423" s="166" t="s">
        <v>1262</v>
      </c>
      <c r="E423" s="163"/>
      <c r="F423" s="105"/>
      <c r="G423" s="105"/>
      <c r="H423" s="105">
        <f>83*5</f>
        <v>415</v>
      </c>
      <c r="I423" s="105">
        <v>83</v>
      </c>
      <c r="J423" s="105"/>
      <c r="K423" s="105">
        <v>83</v>
      </c>
      <c r="L423" s="105"/>
      <c r="M423" s="105"/>
      <c r="N423" s="105"/>
      <c r="O423" s="105"/>
      <c r="P423" s="105"/>
      <c r="Q423" s="105"/>
      <c r="R423" s="105"/>
      <c r="S423" s="105"/>
      <c r="T423" s="106"/>
      <c r="U423" s="130"/>
      <c r="V423" s="1"/>
      <c r="W423" s="68">
        <f t="shared" si="103"/>
        <v>0</v>
      </c>
      <c r="X423" s="68">
        <f t="shared" si="104"/>
        <v>0</v>
      </c>
      <c r="Y423" s="68">
        <f t="shared" si="105"/>
        <v>0</v>
      </c>
      <c r="Z423" s="68">
        <f t="shared" si="106"/>
        <v>0</v>
      </c>
      <c r="AA423" s="68"/>
      <c r="AB423" s="68">
        <v>0</v>
      </c>
      <c r="AC423" s="69">
        <f t="shared" si="107"/>
        <v>0</v>
      </c>
      <c r="AD423" s="70">
        <v>19505000</v>
      </c>
      <c r="AE423" s="63">
        <v>40504</v>
      </c>
      <c r="AF423" s="72"/>
      <c r="AG423" s="63" t="s">
        <v>954</v>
      </c>
      <c r="AH423" s="23" t="s">
        <v>955</v>
      </c>
      <c r="AI423" s="60"/>
      <c r="AJ423" s="124" t="s">
        <v>1336</v>
      </c>
      <c r="AK423" s="121" t="s">
        <v>1612</v>
      </c>
      <c r="AL423" s="107"/>
      <c r="AM423" s="108"/>
      <c r="AN423" s="109"/>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08"/>
      <c r="CM423" s="108"/>
      <c r="CN423" s="110"/>
      <c r="CO423" s="111"/>
      <c r="CP423" s="110"/>
      <c r="CQ423" s="111"/>
      <c r="CR423" s="110"/>
      <c r="CS423" s="111"/>
      <c r="CT423" s="112">
        <f t="shared" si="108"/>
        <v>0</v>
      </c>
      <c r="CU423" s="113"/>
      <c r="CV423" s="114"/>
      <c r="CW423" s="115"/>
      <c r="CX423" s="116"/>
      <c r="CY423" s="117"/>
      <c r="CZ423" s="116"/>
      <c r="DA423" s="113"/>
      <c r="DB423" s="114"/>
      <c r="DC423" s="64"/>
      <c r="DD423" s="118"/>
    </row>
    <row r="424" spans="1:108" ht="33.75" outlineLevel="2">
      <c r="A424" s="178">
        <v>40493</v>
      </c>
      <c r="B424" s="164" t="s">
        <v>1256</v>
      </c>
      <c r="C424" s="164" t="s">
        <v>1204</v>
      </c>
      <c r="D424" s="165" t="s">
        <v>1182</v>
      </c>
      <c r="E424" s="163"/>
      <c r="F424" s="105"/>
      <c r="G424" s="105"/>
      <c r="H424" s="105">
        <f>60*5</f>
        <v>300</v>
      </c>
      <c r="I424" s="105">
        <v>60</v>
      </c>
      <c r="J424" s="105"/>
      <c r="K424" s="105">
        <v>60</v>
      </c>
      <c r="L424" s="105"/>
      <c r="M424" s="105"/>
      <c r="N424" s="105"/>
      <c r="O424" s="105"/>
      <c r="P424" s="105"/>
      <c r="Q424" s="105"/>
      <c r="R424" s="105"/>
      <c r="S424" s="105"/>
      <c r="T424" s="106"/>
      <c r="U424" s="130" t="s">
        <v>710</v>
      </c>
      <c r="V424" s="1"/>
      <c r="W424" s="68">
        <f t="shared" si="103"/>
        <v>0</v>
      </c>
      <c r="X424" s="68">
        <f t="shared" si="104"/>
        <v>0</v>
      </c>
      <c r="Y424" s="68">
        <f t="shared" si="105"/>
        <v>0</v>
      </c>
      <c r="Z424" s="68">
        <f t="shared" si="106"/>
        <v>0</v>
      </c>
      <c r="AA424" s="68"/>
      <c r="AB424" s="68">
        <v>0</v>
      </c>
      <c r="AC424" s="69">
        <f t="shared" si="107"/>
        <v>0</v>
      </c>
      <c r="AD424" s="70">
        <v>14100000</v>
      </c>
      <c r="AE424" s="63">
        <v>40504</v>
      </c>
      <c r="AF424" s="72"/>
      <c r="AG424" s="63" t="s">
        <v>954</v>
      </c>
      <c r="AH424" s="23" t="s">
        <v>955</v>
      </c>
      <c r="AI424" s="60"/>
      <c r="AJ424" s="124" t="s">
        <v>1336</v>
      </c>
      <c r="AK424" s="121" t="s">
        <v>686</v>
      </c>
      <c r="AL424" s="107"/>
      <c r="AM424" s="108"/>
      <c r="AN424" s="109"/>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08"/>
      <c r="CM424" s="108"/>
      <c r="CN424" s="110"/>
      <c r="CO424" s="111"/>
      <c r="CP424" s="110"/>
      <c r="CQ424" s="111"/>
      <c r="CR424" s="110"/>
      <c r="CS424" s="111"/>
      <c r="CT424" s="112">
        <f t="shared" si="108"/>
        <v>0</v>
      </c>
      <c r="CU424" s="113"/>
      <c r="CV424" s="114"/>
      <c r="CW424" s="115"/>
      <c r="CX424" s="116"/>
      <c r="CY424" s="117"/>
      <c r="CZ424" s="116"/>
      <c r="DA424" s="113"/>
      <c r="DB424" s="114"/>
      <c r="DC424" s="64"/>
      <c r="DD424" s="118"/>
    </row>
    <row r="425" spans="1:108" ht="24" outlineLevel="2">
      <c r="A425" s="178">
        <v>40495</v>
      </c>
      <c r="B425" s="164" t="s">
        <v>1256</v>
      </c>
      <c r="C425" s="164" t="s">
        <v>824</v>
      </c>
      <c r="D425" s="165" t="s">
        <v>1182</v>
      </c>
      <c r="E425" s="163"/>
      <c r="F425" s="105"/>
      <c r="G425" s="105"/>
      <c r="H425" s="105"/>
      <c r="I425" s="105"/>
      <c r="J425" s="105"/>
      <c r="K425" s="105"/>
      <c r="L425" s="105">
        <v>1</v>
      </c>
      <c r="M425" s="105"/>
      <c r="N425" s="105"/>
      <c r="O425" s="105"/>
      <c r="P425" s="105"/>
      <c r="Q425" s="105"/>
      <c r="R425" s="105"/>
      <c r="S425" s="105"/>
      <c r="T425" s="106"/>
      <c r="U425" s="130"/>
      <c r="V425" s="1"/>
      <c r="W425" s="68">
        <f t="shared" si="103"/>
        <v>0</v>
      </c>
      <c r="X425" s="68">
        <f t="shared" si="104"/>
        <v>0</v>
      </c>
      <c r="Y425" s="68">
        <f t="shared" si="105"/>
        <v>0</v>
      </c>
      <c r="Z425" s="68">
        <f t="shared" si="106"/>
        <v>0</v>
      </c>
      <c r="AA425" s="68"/>
      <c r="AB425" s="68">
        <v>0</v>
      </c>
      <c r="AC425" s="69">
        <f t="shared" si="107"/>
        <v>0</v>
      </c>
      <c r="AD425" s="70">
        <v>0</v>
      </c>
      <c r="AE425" s="63">
        <v>40497</v>
      </c>
      <c r="AF425" s="72"/>
      <c r="AG425" s="63" t="s">
        <v>938</v>
      </c>
      <c r="AH425" s="23" t="s">
        <v>939</v>
      </c>
      <c r="AI425" s="60"/>
      <c r="AJ425" s="124" t="s">
        <v>1608</v>
      </c>
      <c r="AK425" s="121" t="s">
        <v>21</v>
      </c>
      <c r="AL425" s="107"/>
      <c r="AM425" s="108"/>
      <c r="AN425" s="109"/>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08"/>
      <c r="CM425" s="108"/>
      <c r="CN425" s="110"/>
      <c r="CO425" s="111"/>
      <c r="CP425" s="110"/>
      <c r="CQ425" s="111"/>
      <c r="CR425" s="110"/>
      <c r="CS425" s="111"/>
      <c r="CT425" s="112">
        <f t="shared" si="108"/>
        <v>0</v>
      </c>
      <c r="CU425" s="113"/>
      <c r="CV425" s="114"/>
      <c r="CW425" s="115"/>
      <c r="CX425" s="116"/>
      <c r="CY425" s="117"/>
      <c r="CZ425" s="116"/>
      <c r="DA425" s="113"/>
      <c r="DB425" s="114"/>
      <c r="DC425" s="64"/>
      <c r="DD425" s="118"/>
    </row>
    <row r="426" spans="1:108" ht="24" outlineLevel="2">
      <c r="A426" s="178">
        <v>40495</v>
      </c>
      <c r="B426" s="164" t="s">
        <v>1256</v>
      </c>
      <c r="C426" s="164" t="s">
        <v>19</v>
      </c>
      <c r="D426" s="165" t="s">
        <v>1182</v>
      </c>
      <c r="E426" s="163"/>
      <c r="F426" s="105"/>
      <c r="G426" s="105"/>
      <c r="H426" s="105"/>
      <c r="I426" s="105"/>
      <c r="J426" s="105"/>
      <c r="K426" s="105"/>
      <c r="L426" s="105">
        <v>1</v>
      </c>
      <c r="M426" s="105"/>
      <c r="N426" s="105"/>
      <c r="O426" s="105"/>
      <c r="P426" s="105"/>
      <c r="Q426" s="105"/>
      <c r="R426" s="105"/>
      <c r="S426" s="105"/>
      <c r="T426" s="106"/>
      <c r="U426" s="130"/>
      <c r="V426" s="1"/>
      <c r="W426" s="68">
        <f t="shared" si="103"/>
        <v>0</v>
      </c>
      <c r="X426" s="68">
        <f t="shared" si="104"/>
        <v>0</v>
      </c>
      <c r="Y426" s="68">
        <f t="shared" si="105"/>
        <v>0</v>
      </c>
      <c r="Z426" s="68">
        <f t="shared" si="106"/>
        <v>0</v>
      </c>
      <c r="AA426" s="68"/>
      <c r="AB426" s="68">
        <v>0</v>
      </c>
      <c r="AC426" s="69">
        <f t="shared" si="107"/>
        <v>0</v>
      </c>
      <c r="AD426" s="70">
        <v>0</v>
      </c>
      <c r="AE426" s="63">
        <v>40497</v>
      </c>
      <c r="AF426" s="72"/>
      <c r="AG426" s="63" t="s">
        <v>938</v>
      </c>
      <c r="AH426" s="23" t="s">
        <v>939</v>
      </c>
      <c r="AI426" s="60"/>
      <c r="AJ426" s="124" t="s">
        <v>1608</v>
      </c>
      <c r="AK426" s="121" t="s">
        <v>20</v>
      </c>
      <c r="AL426" s="107"/>
      <c r="AM426" s="108"/>
      <c r="AN426" s="109"/>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08"/>
      <c r="CM426" s="108"/>
      <c r="CN426" s="110"/>
      <c r="CO426" s="111"/>
      <c r="CP426" s="110"/>
      <c r="CQ426" s="111"/>
      <c r="CR426" s="110"/>
      <c r="CS426" s="111"/>
      <c r="CT426" s="112">
        <f t="shared" si="108"/>
        <v>0</v>
      </c>
      <c r="CU426" s="113"/>
      <c r="CV426" s="114"/>
      <c r="CW426" s="115"/>
      <c r="CX426" s="116"/>
      <c r="CY426" s="117"/>
      <c r="CZ426" s="116"/>
      <c r="DA426" s="113"/>
      <c r="DB426" s="114"/>
      <c r="DC426" s="64"/>
      <c r="DD426" s="118"/>
    </row>
    <row r="427" spans="1:108" ht="24" outlineLevel="2">
      <c r="A427" s="178">
        <v>40497</v>
      </c>
      <c r="B427" s="164" t="s">
        <v>1256</v>
      </c>
      <c r="C427" s="164" t="s">
        <v>1208</v>
      </c>
      <c r="D427" s="165" t="s">
        <v>1182</v>
      </c>
      <c r="E427" s="163"/>
      <c r="F427" s="105"/>
      <c r="G427" s="105"/>
      <c r="H427" s="105">
        <v>300</v>
      </c>
      <c r="I427" s="105">
        <v>60</v>
      </c>
      <c r="J427" s="105">
        <v>12</v>
      </c>
      <c r="K427" s="105">
        <v>48</v>
      </c>
      <c r="L427" s="105"/>
      <c r="M427" s="105"/>
      <c r="N427" s="105"/>
      <c r="O427" s="105"/>
      <c r="P427" s="105"/>
      <c r="Q427" s="105"/>
      <c r="R427" s="105"/>
      <c r="S427" s="105"/>
      <c r="T427" s="106"/>
      <c r="U427" s="130"/>
      <c r="V427" s="1"/>
      <c r="W427" s="68">
        <f t="shared" si="103"/>
        <v>0</v>
      </c>
      <c r="X427" s="68">
        <f t="shared" si="104"/>
        <v>0</v>
      </c>
      <c r="Y427" s="68">
        <f t="shared" si="105"/>
        <v>0</v>
      </c>
      <c r="Z427" s="68">
        <f t="shared" si="106"/>
        <v>0</v>
      </c>
      <c r="AA427" s="68"/>
      <c r="AB427" s="68">
        <v>0</v>
      </c>
      <c r="AC427" s="69">
        <f t="shared" si="107"/>
        <v>0</v>
      </c>
      <c r="AD427" s="70">
        <v>10075000</v>
      </c>
      <c r="AE427" s="63">
        <v>40498</v>
      </c>
      <c r="AF427" s="72"/>
      <c r="AG427" s="63" t="s">
        <v>954</v>
      </c>
      <c r="AH427" s="23" t="s">
        <v>955</v>
      </c>
      <c r="AI427" s="60"/>
      <c r="AJ427" s="124" t="s">
        <v>52</v>
      </c>
      <c r="AK427" s="121" t="s">
        <v>59</v>
      </c>
      <c r="AL427" s="107"/>
      <c r="AM427" s="108"/>
      <c r="AN427" s="109"/>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08"/>
      <c r="CM427" s="108"/>
      <c r="CN427" s="110"/>
      <c r="CO427" s="111"/>
      <c r="CP427" s="110"/>
      <c r="CQ427" s="111"/>
      <c r="CR427" s="110"/>
      <c r="CS427" s="111"/>
      <c r="CT427" s="112">
        <f t="shared" si="108"/>
        <v>0</v>
      </c>
      <c r="CU427" s="113"/>
      <c r="CV427" s="114"/>
      <c r="CW427" s="115"/>
      <c r="CX427" s="116"/>
      <c r="CY427" s="117"/>
      <c r="CZ427" s="116"/>
      <c r="DA427" s="113"/>
      <c r="DB427" s="114"/>
      <c r="DC427" s="64"/>
      <c r="DD427" s="118"/>
    </row>
    <row r="428" spans="1:108" ht="24" outlineLevel="2">
      <c r="A428" s="178">
        <v>40498</v>
      </c>
      <c r="B428" s="164" t="s">
        <v>1256</v>
      </c>
      <c r="C428" s="164" t="s">
        <v>1208</v>
      </c>
      <c r="D428" s="166" t="s">
        <v>1262</v>
      </c>
      <c r="E428" s="163"/>
      <c r="F428" s="105"/>
      <c r="G428" s="105"/>
      <c r="H428" s="105">
        <v>50</v>
      </c>
      <c r="I428" s="105">
        <v>10</v>
      </c>
      <c r="J428" s="105"/>
      <c r="K428" s="105">
        <v>10</v>
      </c>
      <c r="L428" s="105"/>
      <c r="M428" s="105"/>
      <c r="N428" s="105"/>
      <c r="O428" s="105"/>
      <c r="P428" s="105"/>
      <c r="Q428" s="105"/>
      <c r="R428" s="105"/>
      <c r="S428" s="105"/>
      <c r="T428" s="106"/>
      <c r="U428" s="130"/>
      <c r="V428" s="1"/>
      <c r="W428" s="68">
        <f t="shared" si="103"/>
        <v>0</v>
      </c>
      <c r="X428" s="68">
        <f t="shared" si="104"/>
        <v>0</v>
      </c>
      <c r="Y428" s="68">
        <f t="shared" si="105"/>
        <v>0</v>
      </c>
      <c r="Z428" s="68">
        <f t="shared" si="106"/>
        <v>0</v>
      </c>
      <c r="AA428" s="68"/>
      <c r="AB428" s="68">
        <v>0</v>
      </c>
      <c r="AC428" s="69">
        <f t="shared" si="107"/>
        <v>0</v>
      </c>
      <c r="AD428" s="70">
        <v>0</v>
      </c>
      <c r="AE428" s="63">
        <v>40499</v>
      </c>
      <c r="AF428" s="72"/>
      <c r="AG428" s="63" t="s">
        <v>938</v>
      </c>
      <c r="AH428" s="23" t="s">
        <v>939</v>
      </c>
      <c r="AI428" s="60"/>
      <c r="AJ428" s="124" t="s">
        <v>1608</v>
      </c>
      <c r="AK428" s="121" t="s">
        <v>45</v>
      </c>
      <c r="AL428" s="107"/>
      <c r="AM428" s="108"/>
      <c r="AN428" s="109"/>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08"/>
      <c r="CM428" s="108"/>
      <c r="CN428" s="110"/>
      <c r="CO428" s="111"/>
      <c r="CP428" s="110"/>
      <c r="CQ428" s="111"/>
      <c r="CR428" s="110"/>
      <c r="CS428" s="111"/>
      <c r="CT428" s="112">
        <f t="shared" si="108"/>
        <v>0</v>
      </c>
      <c r="CU428" s="113"/>
      <c r="CV428" s="114"/>
      <c r="CW428" s="115"/>
      <c r="CX428" s="116"/>
      <c r="CY428" s="117"/>
      <c r="CZ428" s="116"/>
      <c r="DA428" s="113"/>
      <c r="DB428" s="114"/>
      <c r="DC428" s="64"/>
      <c r="DD428" s="118"/>
    </row>
    <row r="429" spans="1:108" ht="33.75" outlineLevel="2">
      <c r="A429" s="178">
        <v>40500</v>
      </c>
      <c r="B429" s="164" t="s">
        <v>1256</v>
      </c>
      <c r="C429" s="164" t="s">
        <v>655</v>
      </c>
      <c r="D429" s="166" t="s">
        <v>1262</v>
      </c>
      <c r="E429" s="163"/>
      <c r="F429" s="105"/>
      <c r="G429" s="105"/>
      <c r="H429" s="105"/>
      <c r="I429" s="105"/>
      <c r="J429" s="105"/>
      <c r="K429" s="105"/>
      <c r="L429" s="105"/>
      <c r="M429" s="105">
        <v>1</v>
      </c>
      <c r="N429" s="105"/>
      <c r="O429" s="105"/>
      <c r="P429" s="105"/>
      <c r="Q429" s="105"/>
      <c r="R429" s="105"/>
      <c r="S429" s="105"/>
      <c r="T429" s="106"/>
      <c r="U429" s="130"/>
      <c r="V429" s="1"/>
      <c r="W429" s="68">
        <f t="shared" si="103"/>
        <v>0</v>
      </c>
      <c r="X429" s="68">
        <f t="shared" si="104"/>
        <v>0</v>
      </c>
      <c r="Y429" s="68">
        <f t="shared" si="105"/>
        <v>0</v>
      </c>
      <c r="Z429" s="68">
        <f t="shared" si="106"/>
        <v>0</v>
      </c>
      <c r="AA429" s="68"/>
      <c r="AB429" s="68">
        <v>0</v>
      </c>
      <c r="AC429" s="69">
        <f t="shared" si="107"/>
        <v>0</v>
      </c>
      <c r="AD429" s="70">
        <v>0</v>
      </c>
      <c r="AE429" s="63">
        <v>40504</v>
      </c>
      <c r="AF429" s="72"/>
      <c r="AG429" s="63" t="s">
        <v>954</v>
      </c>
      <c r="AH429" s="23" t="s">
        <v>955</v>
      </c>
      <c r="AI429" s="60"/>
      <c r="AJ429" s="124" t="s">
        <v>1336</v>
      </c>
      <c r="AK429" s="121" t="s">
        <v>656</v>
      </c>
      <c r="AL429" s="107"/>
      <c r="AM429" s="108"/>
      <c r="AN429" s="109"/>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08"/>
      <c r="CM429" s="108"/>
      <c r="CN429" s="110"/>
      <c r="CO429" s="111"/>
      <c r="CP429" s="110"/>
      <c r="CQ429" s="111"/>
      <c r="CR429" s="110"/>
      <c r="CS429" s="111"/>
      <c r="CT429" s="112">
        <f t="shared" si="108"/>
        <v>0</v>
      </c>
      <c r="CU429" s="113"/>
      <c r="CV429" s="114"/>
      <c r="CW429" s="115"/>
      <c r="CX429" s="116"/>
      <c r="CY429" s="117"/>
      <c r="CZ429" s="116"/>
      <c r="DA429" s="113"/>
      <c r="DB429" s="114"/>
      <c r="DC429" s="64"/>
      <c r="DD429" s="118"/>
    </row>
    <row r="430" spans="1:108" ht="48" outlineLevel="2">
      <c r="A430" s="178">
        <v>40500</v>
      </c>
      <c r="B430" s="164" t="s">
        <v>1256</v>
      </c>
      <c r="C430" s="164" t="s">
        <v>1705</v>
      </c>
      <c r="D430" s="166" t="s">
        <v>1262</v>
      </c>
      <c r="E430" s="163"/>
      <c r="F430" s="105"/>
      <c r="G430" s="105"/>
      <c r="H430" s="105"/>
      <c r="I430" s="105"/>
      <c r="J430" s="105"/>
      <c r="K430" s="105"/>
      <c r="L430" s="105"/>
      <c r="M430" s="105"/>
      <c r="N430" s="105"/>
      <c r="O430" s="105"/>
      <c r="P430" s="105"/>
      <c r="Q430" s="105"/>
      <c r="R430" s="105"/>
      <c r="S430" s="105"/>
      <c r="T430" s="106"/>
      <c r="U430" s="130"/>
      <c r="V430" s="1"/>
      <c r="W430" s="68">
        <f t="shared" si="103"/>
        <v>0</v>
      </c>
      <c r="X430" s="68">
        <f t="shared" si="104"/>
        <v>0</v>
      </c>
      <c r="Y430" s="68">
        <f t="shared" si="105"/>
        <v>0</v>
      </c>
      <c r="Z430" s="68">
        <f t="shared" si="106"/>
        <v>0</v>
      </c>
      <c r="AA430" s="68"/>
      <c r="AB430" s="68">
        <v>0</v>
      </c>
      <c r="AC430" s="69">
        <f t="shared" si="107"/>
        <v>0</v>
      </c>
      <c r="AD430" s="70">
        <v>0</v>
      </c>
      <c r="AE430" s="63">
        <v>40504</v>
      </c>
      <c r="AF430" s="72"/>
      <c r="AG430" s="63" t="s">
        <v>954</v>
      </c>
      <c r="AH430" s="23" t="s">
        <v>955</v>
      </c>
      <c r="AI430" s="60"/>
      <c r="AJ430" s="124" t="s">
        <v>1336</v>
      </c>
      <c r="AK430" s="121" t="s">
        <v>657</v>
      </c>
      <c r="AL430" s="107"/>
      <c r="AM430" s="108"/>
      <c r="AN430" s="109"/>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08"/>
      <c r="CM430" s="108"/>
      <c r="CN430" s="110"/>
      <c r="CO430" s="111"/>
      <c r="CP430" s="110"/>
      <c r="CQ430" s="111"/>
      <c r="CR430" s="110"/>
      <c r="CS430" s="111"/>
      <c r="CT430" s="112">
        <f t="shared" si="108"/>
        <v>0</v>
      </c>
      <c r="CU430" s="113"/>
      <c r="CV430" s="114"/>
      <c r="CW430" s="115"/>
      <c r="CX430" s="116"/>
      <c r="CY430" s="117"/>
      <c r="CZ430" s="116"/>
      <c r="DA430" s="113"/>
      <c r="DB430" s="114"/>
      <c r="DC430" s="64"/>
      <c r="DD430" s="118"/>
    </row>
    <row r="431" spans="1:108" outlineLevel="2">
      <c r="A431" s="178">
        <v>40504</v>
      </c>
      <c r="B431" s="164" t="s">
        <v>1256</v>
      </c>
      <c r="C431" s="164" t="s">
        <v>292</v>
      </c>
      <c r="D431" s="165" t="s">
        <v>1182</v>
      </c>
      <c r="E431" s="163"/>
      <c r="F431" s="105"/>
      <c r="G431" s="105"/>
      <c r="H431" s="105">
        <v>2</v>
      </c>
      <c r="I431" s="105">
        <v>1</v>
      </c>
      <c r="J431" s="105">
        <v>1</v>
      </c>
      <c r="K431" s="105"/>
      <c r="L431" s="105"/>
      <c r="M431" s="105"/>
      <c r="N431" s="105"/>
      <c r="O431" s="105"/>
      <c r="P431" s="105"/>
      <c r="Q431" s="105"/>
      <c r="R431" s="105"/>
      <c r="S431" s="105"/>
      <c r="T431" s="106"/>
      <c r="U431" s="130"/>
      <c r="V431" s="1"/>
      <c r="W431" s="68">
        <f t="shared" si="103"/>
        <v>0</v>
      </c>
      <c r="X431" s="68">
        <f t="shared" si="104"/>
        <v>0</v>
      </c>
      <c r="Y431" s="68">
        <f t="shared" si="105"/>
        <v>0</v>
      </c>
      <c r="Z431" s="68">
        <f t="shared" si="106"/>
        <v>0</v>
      </c>
      <c r="AA431" s="68"/>
      <c r="AB431" s="68">
        <v>0</v>
      </c>
      <c r="AC431" s="69">
        <f t="shared" si="107"/>
        <v>0</v>
      </c>
      <c r="AD431" s="70">
        <v>0</v>
      </c>
      <c r="AE431" s="63">
        <v>40506</v>
      </c>
      <c r="AF431" s="72"/>
      <c r="AG431" s="63" t="s">
        <v>938</v>
      </c>
      <c r="AH431" s="23" t="s">
        <v>939</v>
      </c>
      <c r="AI431" s="60"/>
      <c r="AJ431" s="124" t="s">
        <v>1608</v>
      </c>
      <c r="AK431" s="121" t="s">
        <v>293</v>
      </c>
      <c r="AL431" s="107"/>
      <c r="AM431" s="108"/>
      <c r="AN431" s="109"/>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08"/>
      <c r="CM431" s="108"/>
      <c r="CN431" s="110"/>
      <c r="CO431" s="111"/>
      <c r="CP431" s="110"/>
      <c r="CQ431" s="111"/>
      <c r="CR431" s="110"/>
      <c r="CS431" s="111"/>
      <c r="CT431" s="112">
        <f t="shared" si="108"/>
        <v>0</v>
      </c>
      <c r="CU431" s="113"/>
      <c r="CV431" s="114"/>
      <c r="CW431" s="115"/>
      <c r="CX431" s="116"/>
      <c r="CY431" s="117"/>
      <c r="CZ431" s="116"/>
      <c r="DA431" s="113"/>
      <c r="DB431" s="114"/>
      <c r="DC431" s="64"/>
      <c r="DD431" s="118"/>
    </row>
    <row r="432" spans="1:108" ht="24" outlineLevel="2">
      <c r="A432" s="178">
        <v>40512</v>
      </c>
      <c r="B432" s="164" t="s">
        <v>1256</v>
      </c>
      <c r="C432" s="164" t="s">
        <v>1705</v>
      </c>
      <c r="D432" s="166" t="s">
        <v>1182</v>
      </c>
      <c r="E432" s="163"/>
      <c r="F432" s="105"/>
      <c r="G432" s="105"/>
      <c r="H432" s="105">
        <v>10</v>
      </c>
      <c r="I432" s="105">
        <v>2</v>
      </c>
      <c r="J432" s="105"/>
      <c r="K432" s="105">
        <v>2</v>
      </c>
      <c r="L432" s="105"/>
      <c r="M432" s="105"/>
      <c r="N432" s="105"/>
      <c r="O432" s="105"/>
      <c r="P432" s="105"/>
      <c r="Q432" s="105"/>
      <c r="R432" s="105"/>
      <c r="S432" s="105"/>
      <c r="T432" s="106"/>
      <c r="U432" s="130"/>
      <c r="V432" s="1"/>
      <c r="W432" s="68">
        <f t="shared" si="103"/>
        <v>0</v>
      </c>
      <c r="X432" s="68">
        <f t="shared" si="104"/>
        <v>0</v>
      </c>
      <c r="Y432" s="68">
        <f t="shared" si="105"/>
        <v>0</v>
      </c>
      <c r="Z432" s="68">
        <f t="shared" si="106"/>
        <v>0</v>
      </c>
      <c r="AA432" s="68"/>
      <c r="AB432" s="68">
        <v>0</v>
      </c>
      <c r="AC432" s="69">
        <f t="shared" si="107"/>
        <v>0</v>
      </c>
      <c r="AD432" s="70">
        <v>0</v>
      </c>
      <c r="AE432" s="63">
        <v>40513</v>
      </c>
      <c r="AF432" s="72"/>
      <c r="AG432" s="63" t="s">
        <v>938</v>
      </c>
      <c r="AH432" s="23" t="s">
        <v>939</v>
      </c>
      <c r="AI432" s="60"/>
      <c r="AJ432" s="124" t="s">
        <v>1608</v>
      </c>
      <c r="AK432" s="121" t="s">
        <v>2108</v>
      </c>
      <c r="AL432" s="107"/>
      <c r="AM432" s="108"/>
      <c r="AN432" s="109"/>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08"/>
      <c r="CM432" s="108"/>
      <c r="CN432" s="110"/>
      <c r="CO432" s="111"/>
      <c r="CP432" s="110"/>
      <c r="CQ432" s="111"/>
      <c r="CR432" s="110"/>
      <c r="CS432" s="111"/>
      <c r="CT432" s="112">
        <f t="shared" si="108"/>
        <v>0</v>
      </c>
      <c r="CU432" s="113"/>
      <c r="CV432" s="114"/>
      <c r="CW432" s="115"/>
      <c r="CX432" s="116"/>
      <c r="CY432" s="117"/>
      <c r="CZ432" s="116"/>
      <c r="DA432" s="113"/>
      <c r="DB432" s="114"/>
      <c r="DC432" s="64"/>
      <c r="DD432" s="118"/>
    </row>
    <row r="433" spans="1:108" ht="36" outlineLevel="2">
      <c r="A433" s="178">
        <v>40512</v>
      </c>
      <c r="B433" s="164" t="s">
        <v>1256</v>
      </c>
      <c r="C433" s="164" t="s">
        <v>1237</v>
      </c>
      <c r="D433" s="166" t="s">
        <v>1262</v>
      </c>
      <c r="E433" s="163"/>
      <c r="F433" s="105"/>
      <c r="G433" s="105"/>
      <c r="H433" s="105">
        <v>20</v>
      </c>
      <c r="I433" s="105">
        <v>4</v>
      </c>
      <c r="J433" s="105"/>
      <c r="K433" s="105">
        <v>4</v>
      </c>
      <c r="L433" s="105"/>
      <c r="M433" s="105"/>
      <c r="N433" s="105"/>
      <c r="O433" s="105"/>
      <c r="P433" s="105"/>
      <c r="Q433" s="105"/>
      <c r="R433" s="105"/>
      <c r="S433" s="105"/>
      <c r="T433" s="106"/>
      <c r="U433" s="130"/>
      <c r="V433" s="1"/>
      <c r="W433" s="68">
        <f t="shared" si="103"/>
        <v>0</v>
      </c>
      <c r="X433" s="68">
        <f t="shared" si="104"/>
        <v>0</v>
      </c>
      <c r="Y433" s="68">
        <f t="shared" si="105"/>
        <v>0</v>
      </c>
      <c r="Z433" s="68">
        <f t="shared" si="106"/>
        <v>0</v>
      </c>
      <c r="AA433" s="68"/>
      <c r="AB433" s="68">
        <v>0</v>
      </c>
      <c r="AC433" s="69">
        <f t="shared" si="107"/>
        <v>0</v>
      </c>
      <c r="AD433" s="70">
        <v>0</v>
      </c>
      <c r="AE433" s="63"/>
      <c r="AF433" s="72"/>
      <c r="AG433" s="63"/>
      <c r="AH433" s="23"/>
      <c r="AI433" s="60"/>
      <c r="AJ433" s="124"/>
      <c r="AK433" s="121" t="s">
        <v>168</v>
      </c>
      <c r="AL433" s="107"/>
      <c r="AM433" s="108"/>
      <c r="AN433" s="109"/>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08"/>
      <c r="CM433" s="108"/>
      <c r="CN433" s="110"/>
      <c r="CO433" s="111"/>
      <c r="CP433" s="110"/>
      <c r="CQ433" s="111"/>
      <c r="CR433" s="110"/>
      <c r="CS433" s="111"/>
      <c r="CT433" s="112">
        <f t="shared" si="108"/>
        <v>0</v>
      </c>
      <c r="CU433" s="113"/>
      <c r="CV433" s="114"/>
      <c r="CW433" s="115"/>
      <c r="CX433" s="116"/>
      <c r="CY433" s="117"/>
      <c r="CZ433" s="116"/>
      <c r="DA433" s="113"/>
      <c r="DB433" s="114"/>
      <c r="DC433" s="64"/>
      <c r="DD433" s="118"/>
    </row>
    <row r="434" spans="1:108" outlineLevel="2">
      <c r="A434" s="178">
        <v>40514</v>
      </c>
      <c r="B434" s="164" t="s">
        <v>1256</v>
      </c>
      <c r="C434" s="164" t="s">
        <v>1279</v>
      </c>
      <c r="D434" s="166" t="s">
        <v>1182</v>
      </c>
      <c r="E434" s="163"/>
      <c r="F434" s="105"/>
      <c r="G434" s="105"/>
      <c r="H434" s="105">
        <v>5</v>
      </c>
      <c r="I434" s="105">
        <v>1</v>
      </c>
      <c r="J434" s="105"/>
      <c r="K434" s="105">
        <v>1</v>
      </c>
      <c r="L434" s="105"/>
      <c r="M434" s="105"/>
      <c r="N434" s="105"/>
      <c r="O434" s="105"/>
      <c r="P434" s="105"/>
      <c r="Q434" s="105"/>
      <c r="R434" s="105"/>
      <c r="S434" s="105"/>
      <c r="T434" s="106"/>
      <c r="U434" s="130"/>
      <c r="V434" s="1"/>
      <c r="W434" s="68">
        <f t="shared" si="103"/>
        <v>0</v>
      </c>
      <c r="X434" s="68">
        <f t="shared" si="104"/>
        <v>0</v>
      </c>
      <c r="Y434" s="68">
        <f t="shared" si="105"/>
        <v>0</v>
      </c>
      <c r="Z434" s="68">
        <f t="shared" si="106"/>
        <v>0</v>
      </c>
      <c r="AA434" s="68"/>
      <c r="AB434" s="68">
        <v>0</v>
      </c>
      <c r="AC434" s="69">
        <f t="shared" si="107"/>
        <v>0</v>
      </c>
      <c r="AD434" s="70">
        <v>0</v>
      </c>
      <c r="AE434" s="63"/>
      <c r="AF434" s="72"/>
      <c r="AG434" s="63"/>
      <c r="AH434" s="23"/>
      <c r="AI434" s="60"/>
      <c r="AJ434" s="124"/>
      <c r="AK434" s="121" t="s">
        <v>167</v>
      </c>
      <c r="AL434" s="107"/>
      <c r="AM434" s="108"/>
      <c r="AN434" s="109"/>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08"/>
      <c r="CM434" s="108"/>
      <c r="CN434" s="110"/>
      <c r="CO434" s="111"/>
      <c r="CP434" s="110"/>
      <c r="CQ434" s="111"/>
      <c r="CR434" s="110"/>
      <c r="CS434" s="111"/>
      <c r="CT434" s="112">
        <f t="shared" si="108"/>
        <v>0</v>
      </c>
      <c r="CU434" s="113"/>
      <c r="CV434" s="114"/>
      <c r="CW434" s="115"/>
      <c r="CX434" s="116"/>
      <c r="CY434" s="117"/>
      <c r="CZ434" s="116"/>
      <c r="DA434" s="113"/>
      <c r="DB434" s="114"/>
      <c r="DC434" s="64"/>
      <c r="DD434" s="118"/>
    </row>
    <row r="435" spans="1:108" ht="36" outlineLevel="2">
      <c r="A435" s="178">
        <v>40514</v>
      </c>
      <c r="B435" s="164" t="s">
        <v>1256</v>
      </c>
      <c r="C435" s="164" t="s">
        <v>1602</v>
      </c>
      <c r="D435" s="166" t="s">
        <v>1182</v>
      </c>
      <c r="E435" s="163"/>
      <c r="F435" s="105"/>
      <c r="G435" s="105"/>
      <c r="H435" s="105">
        <v>100</v>
      </c>
      <c r="I435" s="105">
        <v>20</v>
      </c>
      <c r="J435" s="105">
        <v>10</v>
      </c>
      <c r="K435" s="105">
        <v>10</v>
      </c>
      <c r="L435" s="105"/>
      <c r="M435" s="105"/>
      <c r="N435" s="105"/>
      <c r="O435" s="105"/>
      <c r="P435" s="105"/>
      <c r="Q435" s="105"/>
      <c r="R435" s="105"/>
      <c r="S435" s="105"/>
      <c r="T435" s="106"/>
      <c r="U435" s="130"/>
      <c r="V435" s="1"/>
      <c r="W435" s="68">
        <f t="shared" si="103"/>
        <v>0</v>
      </c>
      <c r="X435" s="68">
        <f t="shared" si="104"/>
        <v>0</v>
      </c>
      <c r="Y435" s="68">
        <f t="shared" si="105"/>
        <v>0</v>
      </c>
      <c r="Z435" s="68">
        <f t="shared" si="106"/>
        <v>0</v>
      </c>
      <c r="AA435" s="68"/>
      <c r="AB435" s="68">
        <v>0</v>
      </c>
      <c r="AC435" s="69">
        <f t="shared" si="107"/>
        <v>0</v>
      </c>
      <c r="AD435" s="70">
        <v>0</v>
      </c>
      <c r="AE435" s="63"/>
      <c r="AF435" s="72"/>
      <c r="AG435" s="63"/>
      <c r="AH435" s="23"/>
      <c r="AI435" s="60"/>
      <c r="AJ435" s="124"/>
      <c r="AK435" s="121" t="s">
        <v>166</v>
      </c>
      <c r="AL435" s="107"/>
      <c r="AM435" s="108"/>
      <c r="AN435" s="109"/>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08"/>
      <c r="CM435" s="108"/>
      <c r="CN435" s="110"/>
      <c r="CO435" s="111"/>
      <c r="CP435" s="110"/>
      <c r="CQ435" s="111"/>
      <c r="CR435" s="110"/>
      <c r="CS435" s="111"/>
      <c r="CT435" s="112">
        <f t="shared" si="108"/>
        <v>0</v>
      </c>
      <c r="CU435" s="113"/>
      <c r="CV435" s="114"/>
      <c r="CW435" s="115"/>
      <c r="CX435" s="116"/>
      <c r="CY435" s="117"/>
      <c r="CZ435" s="116"/>
      <c r="DA435" s="113"/>
      <c r="DB435" s="114"/>
      <c r="DC435" s="64"/>
      <c r="DD435" s="118"/>
    </row>
    <row r="436" spans="1:108" outlineLevel="2">
      <c r="A436" s="178">
        <v>40515</v>
      </c>
      <c r="B436" s="164" t="s">
        <v>1256</v>
      </c>
      <c r="C436" s="164" t="s">
        <v>685</v>
      </c>
      <c r="D436" s="166" t="s">
        <v>1182</v>
      </c>
      <c r="E436" s="163"/>
      <c r="F436" s="105"/>
      <c r="G436" s="105"/>
      <c r="H436" s="105">
        <v>15</v>
      </c>
      <c r="I436" s="105">
        <v>2</v>
      </c>
      <c r="J436" s="105">
        <v>2</v>
      </c>
      <c r="K436" s="105"/>
      <c r="L436" s="105"/>
      <c r="M436" s="105"/>
      <c r="N436" s="105"/>
      <c r="O436" s="105"/>
      <c r="P436" s="105"/>
      <c r="Q436" s="105"/>
      <c r="R436" s="105"/>
      <c r="S436" s="105"/>
      <c r="T436" s="106"/>
      <c r="U436" s="130"/>
      <c r="V436" s="1"/>
      <c r="W436" s="68">
        <f t="shared" si="103"/>
        <v>0</v>
      </c>
      <c r="X436" s="68">
        <f t="shared" si="104"/>
        <v>0</v>
      </c>
      <c r="Y436" s="68">
        <f t="shared" si="105"/>
        <v>0</v>
      </c>
      <c r="Z436" s="68">
        <f t="shared" si="106"/>
        <v>0</v>
      </c>
      <c r="AA436" s="68"/>
      <c r="AB436" s="68">
        <v>0</v>
      </c>
      <c r="AC436" s="69">
        <f t="shared" si="107"/>
        <v>0</v>
      </c>
      <c r="AD436" s="70">
        <v>0</v>
      </c>
      <c r="AE436" s="63"/>
      <c r="AF436" s="72"/>
      <c r="AG436" s="63"/>
      <c r="AH436" s="23"/>
      <c r="AI436" s="60"/>
      <c r="AJ436" s="124"/>
      <c r="AK436" s="121" t="s">
        <v>2195</v>
      </c>
      <c r="AL436" s="107"/>
      <c r="AM436" s="108"/>
      <c r="AN436" s="109"/>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08"/>
      <c r="CM436" s="108"/>
      <c r="CN436" s="110"/>
      <c r="CO436" s="111"/>
      <c r="CP436" s="110"/>
      <c r="CQ436" s="111"/>
      <c r="CR436" s="110"/>
      <c r="CS436" s="111"/>
      <c r="CT436" s="112">
        <f t="shared" si="108"/>
        <v>0</v>
      </c>
      <c r="CU436" s="113"/>
      <c r="CV436" s="114"/>
      <c r="CW436" s="115"/>
      <c r="CX436" s="116"/>
      <c r="CY436" s="117"/>
      <c r="CZ436" s="116"/>
      <c r="DA436" s="113"/>
      <c r="DB436" s="114"/>
      <c r="DC436" s="64"/>
      <c r="DD436" s="118"/>
    </row>
    <row r="437" spans="1:108" ht="48" outlineLevel="2">
      <c r="A437" s="178">
        <v>40516</v>
      </c>
      <c r="B437" s="164" t="s">
        <v>1256</v>
      </c>
      <c r="C437" s="164" t="s">
        <v>1212</v>
      </c>
      <c r="D437" s="166" t="s">
        <v>1262</v>
      </c>
      <c r="E437" s="163"/>
      <c r="F437" s="105"/>
      <c r="G437" s="105"/>
      <c r="H437" s="105">
        <v>3000</v>
      </c>
      <c r="I437" s="105">
        <v>600</v>
      </c>
      <c r="J437" s="105"/>
      <c r="K437" s="105">
        <v>600</v>
      </c>
      <c r="L437" s="105"/>
      <c r="M437" s="105"/>
      <c r="N437" s="105"/>
      <c r="O437" s="105"/>
      <c r="P437" s="105"/>
      <c r="Q437" s="105"/>
      <c r="R437" s="105"/>
      <c r="S437" s="105"/>
      <c r="T437" s="106"/>
      <c r="U437" s="130"/>
      <c r="V437" s="1"/>
      <c r="W437" s="68">
        <f t="shared" si="103"/>
        <v>0</v>
      </c>
      <c r="X437" s="68">
        <f t="shared" si="104"/>
        <v>0</v>
      </c>
      <c r="Y437" s="68">
        <f t="shared" si="105"/>
        <v>0</v>
      </c>
      <c r="Z437" s="68">
        <f t="shared" si="106"/>
        <v>0</v>
      </c>
      <c r="AA437" s="68"/>
      <c r="AB437" s="68">
        <v>0</v>
      </c>
      <c r="AC437" s="69">
        <f t="shared" si="107"/>
        <v>0</v>
      </c>
      <c r="AD437" s="70">
        <v>0</v>
      </c>
      <c r="AE437" s="63"/>
      <c r="AF437" s="72"/>
      <c r="AG437" s="63"/>
      <c r="AH437" s="23"/>
      <c r="AI437" s="60"/>
      <c r="AJ437" s="124"/>
      <c r="AK437" s="121" t="s">
        <v>165</v>
      </c>
      <c r="AL437" s="107"/>
      <c r="AM437" s="108"/>
      <c r="AN437" s="109"/>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08"/>
      <c r="CM437" s="108"/>
      <c r="CN437" s="110"/>
      <c r="CO437" s="111"/>
      <c r="CP437" s="110"/>
      <c r="CQ437" s="111"/>
      <c r="CR437" s="110"/>
      <c r="CS437" s="111"/>
      <c r="CT437" s="112">
        <f t="shared" si="108"/>
        <v>0</v>
      </c>
      <c r="CU437" s="113"/>
      <c r="CV437" s="114"/>
      <c r="CW437" s="115"/>
      <c r="CX437" s="116"/>
      <c r="CY437" s="117"/>
      <c r="CZ437" s="116"/>
      <c r="DA437" s="113"/>
      <c r="DB437" s="114"/>
      <c r="DC437" s="64"/>
      <c r="DD437" s="118"/>
    </row>
    <row r="438" spans="1:108" outlineLevel="1">
      <c r="A438" s="178"/>
      <c r="B438" s="192" t="s">
        <v>2443</v>
      </c>
      <c r="C438" s="164"/>
      <c r="D438" s="166"/>
      <c r="E438" s="163">
        <f t="shared" ref="E438:T438" si="109">SUBTOTAL(9,E356:E437)</f>
        <v>7</v>
      </c>
      <c r="F438" s="105">
        <f t="shared" si="109"/>
        <v>3</v>
      </c>
      <c r="G438" s="105">
        <f t="shared" si="109"/>
        <v>0</v>
      </c>
      <c r="H438" s="105">
        <f t="shared" si="109"/>
        <v>21492</v>
      </c>
      <c r="I438" s="105">
        <f t="shared" si="109"/>
        <v>4318</v>
      </c>
      <c r="J438" s="105">
        <f t="shared" si="109"/>
        <v>50</v>
      </c>
      <c r="K438" s="105">
        <f t="shared" si="109"/>
        <v>3811</v>
      </c>
      <c r="L438" s="105">
        <f t="shared" si="109"/>
        <v>24</v>
      </c>
      <c r="M438" s="105">
        <f t="shared" si="109"/>
        <v>2</v>
      </c>
      <c r="N438" s="105">
        <f t="shared" si="109"/>
        <v>6</v>
      </c>
      <c r="O438" s="105">
        <f t="shared" si="109"/>
        <v>2</v>
      </c>
      <c r="P438" s="105">
        <f t="shared" si="109"/>
        <v>0</v>
      </c>
      <c r="Q438" s="105">
        <f t="shared" si="109"/>
        <v>0</v>
      </c>
      <c r="R438" s="105">
        <f t="shared" si="109"/>
        <v>7</v>
      </c>
      <c r="S438" s="105">
        <f t="shared" si="109"/>
        <v>2</v>
      </c>
      <c r="T438" s="106">
        <f t="shared" si="109"/>
        <v>1307</v>
      </c>
      <c r="U438" s="130"/>
      <c r="V438" s="1"/>
      <c r="W438" s="68">
        <f t="shared" ref="W438:AD438" si="110">SUBTOTAL(9,W356:W437)</f>
        <v>91242400</v>
      </c>
      <c r="X438" s="68">
        <f t="shared" si="110"/>
        <v>102000000</v>
      </c>
      <c r="Y438" s="68">
        <f t="shared" si="110"/>
        <v>0</v>
      </c>
      <c r="Z438" s="68">
        <f t="shared" si="110"/>
        <v>27898000</v>
      </c>
      <c r="AA438" s="68">
        <f t="shared" si="110"/>
        <v>54380800</v>
      </c>
      <c r="AB438" s="68">
        <f t="shared" si="110"/>
        <v>95000000</v>
      </c>
      <c r="AC438" s="69">
        <f t="shared" si="110"/>
        <v>370521200</v>
      </c>
      <c r="AD438" s="70">
        <f t="shared" si="110"/>
        <v>450390000</v>
      </c>
      <c r="AE438" s="63"/>
      <c r="AF438" s="72"/>
      <c r="AG438" s="63"/>
      <c r="AH438" s="23"/>
      <c r="AI438" s="60"/>
      <c r="AJ438" s="124"/>
      <c r="AK438" s="121"/>
      <c r="AL438" s="107"/>
      <c r="AM438" s="108"/>
      <c r="AN438" s="109"/>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08"/>
      <c r="CM438" s="108"/>
      <c r="CN438" s="110"/>
      <c r="CO438" s="111"/>
      <c r="CP438" s="110"/>
      <c r="CQ438" s="111"/>
      <c r="CR438" s="110"/>
      <c r="CS438" s="111"/>
      <c r="CT438" s="112"/>
      <c r="CU438" s="113"/>
      <c r="CV438" s="114"/>
      <c r="CW438" s="115"/>
      <c r="CX438" s="116"/>
      <c r="CY438" s="117"/>
      <c r="CZ438" s="116"/>
      <c r="DA438" s="113"/>
      <c r="DB438" s="114"/>
      <c r="DC438" s="64"/>
      <c r="DD438" s="118"/>
    </row>
    <row r="439" spans="1:108" outlineLevel="2">
      <c r="A439" s="178">
        <v>40281</v>
      </c>
      <c r="B439" s="82" t="s">
        <v>1962</v>
      </c>
      <c r="C439" s="82" t="s">
        <v>2302</v>
      </c>
      <c r="D439" s="165" t="s">
        <v>435</v>
      </c>
      <c r="E439" s="167"/>
      <c r="F439" s="66"/>
      <c r="G439" s="66"/>
      <c r="H439" s="66">
        <v>15</v>
      </c>
      <c r="I439" s="66">
        <v>3</v>
      </c>
      <c r="J439" s="66"/>
      <c r="K439" s="66">
        <v>3</v>
      </c>
      <c r="L439" s="66"/>
      <c r="M439" s="66"/>
      <c r="N439" s="66"/>
      <c r="O439" s="66"/>
      <c r="P439" s="66"/>
      <c r="Q439" s="66"/>
      <c r="R439" s="66"/>
      <c r="S439" s="66"/>
      <c r="T439" s="67"/>
      <c r="U439" s="151"/>
      <c r="V439" s="1"/>
      <c r="W439" s="68">
        <f t="shared" ref="W439:W470" si="111">CT439</f>
        <v>0</v>
      </c>
      <c r="X439" s="68">
        <f t="shared" ref="X439:X470" si="112">CX439</f>
        <v>0</v>
      </c>
      <c r="Y439" s="68">
        <f t="shared" ref="Y439:Y470" si="113">CZ439+DB439</f>
        <v>0</v>
      </c>
      <c r="Z439" s="68">
        <f t="shared" ref="Z439:Z470" si="114">CV439</f>
        <v>0</v>
      </c>
      <c r="AA439" s="68"/>
      <c r="AB439" s="68">
        <v>0</v>
      </c>
      <c r="AC439" s="69">
        <f t="shared" ref="AC439:AC470" si="115">W439+X439+Y439+Z439+AA439+AB439</f>
        <v>0</v>
      </c>
      <c r="AD439" s="70">
        <v>0</v>
      </c>
      <c r="AE439" s="63">
        <v>40282</v>
      </c>
      <c r="AF439" s="72"/>
      <c r="AG439" s="63" t="s">
        <v>938</v>
      </c>
      <c r="AH439" s="23" t="s">
        <v>939</v>
      </c>
      <c r="AI439" s="60"/>
      <c r="AJ439" s="133" t="s">
        <v>1608</v>
      </c>
      <c r="AK439" s="73" t="s">
        <v>872</v>
      </c>
      <c r="AL439" s="3"/>
      <c r="AM439" s="4"/>
      <c r="AN439" s="5"/>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6"/>
      <c r="CO439" s="7"/>
      <c r="CP439" s="6"/>
      <c r="CQ439" s="7"/>
      <c r="CR439" s="6"/>
      <c r="CS439" s="7"/>
      <c r="CT439" s="8">
        <f t="shared" ref="CT439:CT470" si="116">AM439+AO439+AQ439+AS439+AU439+AW439+AY439+BA439+BC439+BE439+BG439+BI439+BK439+BM439+BO439+BQ439+BS439+BU439+BW439+BY439+CA439+CC439+CE439+CG439+CI439+CK439+CM439+CO439+CQ439+CS439</f>
        <v>0</v>
      </c>
      <c r="CU439" s="9"/>
      <c r="CV439" s="10"/>
      <c r="CW439" s="11"/>
      <c r="CX439" s="12"/>
      <c r="CY439" s="26"/>
      <c r="CZ439" s="12"/>
      <c r="DA439" s="9"/>
      <c r="DB439" s="10"/>
      <c r="DC439" s="64"/>
    </row>
    <row r="440" spans="1:108" ht="36" outlineLevel="2">
      <c r="A440" s="178">
        <v>40325</v>
      </c>
      <c r="B440" s="82" t="s">
        <v>1962</v>
      </c>
      <c r="C440" s="82" t="s">
        <v>1726</v>
      </c>
      <c r="D440" s="165" t="s">
        <v>1262</v>
      </c>
      <c r="E440" s="167"/>
      <c r="F440" s="66"/>
      <c r="G440" s="66"/>
      <c r="H440" s="66">
        <v>2200</v>
      </c>
      <c r="I440" s="66">
        <v>553</v>
      </c>
      <c r="J440" s="66"/>
      <c r="K440" s="66">
        <v>553</v>
      </c>
      <c r="L440" s="66"/>
      <c r="M440" s="66"/>
      <c r="N440" s="66"/>
      <c r="O440" s="66"/>
      <c r="P440" s="66"/>
      <c r="Q440" s="66"/>
      <c r="R440" s="66"/>
      <c r="S440" s="66"/>
      <c r="T440" s="67"/>
      <c r="U440" s="151"/>
      <c r="V440" s="1"/>
      <c r="W440" s="68">
        <f t="shared" si="111"/>
        <v>0</v>
      </c>
      <c r="X440" s="68">
        <f t="shared" si="112"/>
        <v>0</v>
      </c>
      <c r="Y440" s="68">
        <f t="shared" si="113"/>
        <v>0</v>
      </c>
      <c r="Z440" s="68">
        <f t="shared" si="114"/>
        <v>0</v>
      </c>
      <c r="AA440" s="68"/>
      <c r="AB440" s="68">
        <v>0</v>
      </c>
      <c r="AC440" s="69">
        <f t="shared" si="115"/>
        <v>0</v>
      </c>
      <c r="AD440" s="70">
        <v>0</v>
      </c>
      <c r="AE440" s="63">
        <v>40326</v>
      </c>
      <c r="AF440" s="72"/>
      <c r="AG440" s="63" t="s">
        <v>938</v>
      </c>
      <c r="AH440" s="23" t="s">
        <v>939</v>
      </c>
      <c r="AI440" s="60"/>
      <c r="AJ440" s="133" t="s">
        <v>1608</v>
      </c>
      <c r="AK440" s="73" t="s">
        <v>1097</v>
      </c>
      <c r="AL440" s="3"/>
      <c r="AM440" s="4"/>
      <c r="AN440" s="5"/>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6"/>
      <c r="CO440" s="7"/>
      <c r="CP440" s="6"/>
      <c r="CQ440" s="7"/>
      <c r="CR440" s="6"/>
      <c r="CS440" s="7"/>
      <c r="CT440" s="8">
        <f t="shared" si="116"/>
        <v>0</v>
      </c>
      <c r="CU440" s="9"/>
      <c r="CV440" s="10"/>
      <c r="CW440" s="11"/>
      <c r="CX440" s="12"/>
      <c r="CY440" s="26"/>
      <c r="CZ440" s="12"/>
      <c r="DA440" s="9"/>
      <c r="DB440" s="10"/>
      <c r="DC440" s="64"/>
    </row>
    <row r="441" spans="1:108" ht="24" outlineLevel="2">
      <c r="A441" s="178">
        <v>40325</v>
      </c>
      <c r="B441" s="82" t="s">
        <v>1962</v>
      </c>
      <c r="C441" s="82" t="s">
        <v>1209</v>
      </c>
      <c r="D441" s="165" t="s">
        <v>1262</v>
      </c>
      <c r="E441" s="167"/>
      <c r="F441" s="66"/>
      <c r="G441" s="66"/>
      <c r="H441" s="66">
        <v>70</v>
      </c>
      <c r="I441" s="66">
        <v>28</v>
      </c>
      <c r="J441" s="66"/>
      <c r="K441" s="66">
        <v>28</v>
      </c>
      <c r="L441" s="66"/>
      <c r="M441" s="66"/>
      <c r="N441" s="66"/>
      <c r="O441" s="66"/>
      <c r="P441" s="66"/>
      <c r="Q441" s="66"/>
      <c r="R441" s="66"/>
      <c r="S441" s="66"/>
      <c r="T441" s="67"/>
      <c r="U441" s="151"/>
      <c r="V441" s="1"/>
      <c r="W441" s="68">
        <f t="shared" si="111"/>
        <v>0</v>
      </c>
      <c r="X441" s="68">
        <f t="shared" si="112"/>
        <v>0</v>
      </c>
      <c r="Y441" s="68">
        <f t="shared" si="113"/>
        <v>0</v>
      </c>
      <c r="Z441" s="68">
        <f t="shared" si="114"/>
        <v>0</v>
      </c>
      <c r="AA441" s="68"/>
      <c r="AB441" s="68">
        <v>0</v>
      </c>
      <c r="AC441" s="69">
        <f t="shared" si="115"/>
        <v>0</v>
      </c>
      <c r="AD441" s="70">
        <v>0</v>
      </c>
      <c r="AE441" s="63">
        <v>40326</v>
      </c>
      <c r="AF441" s="72"/>
      <c r="AG441" s="63" t="s">
        <v>938</v>
      </c>
      <c r="AH441" s="23" t="s">
        <v>939</v>
      </c>
      <c r="AI441" s="60"/>
      <c r="AJ441" s="133" t="s">
        <v>1608</v>
      </c>
      <c r="AK441" s="73" t="s">
        <v>2297</v>
      </c>
      <c r="AL441" s="3"/>
      <c r="AM441" s="4"/>
      <c r="AN441" s="5"/>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6"/>
      <c r="CO441" s="7"/>
      <c r="CP441" s="6"/>
      <c r="CQ441" s="7"/>
      <c r="CR441" s="6"/>
      <c r="CS441" s="7"/>
      <c r="CT441" s="8">
        <f t="shared" si="116"/>
        <v>0</v>
      </c>
      <c r="CU441" s="9"/>
      <c r="CV441" s="10"/>
      <c r="CW441" s="11"/>
      <c r="CX441" s="12"/>
      <c r="CY441" s="26"/>
      <c r="CZ441" s="12"/>
      <c r="DA441" s="9"/>
      <c r="DB441" s="10"/>
      <c r="DC441" s="64"/>
    </row>
    <row r="442" spans="1:108" ht="24" outlineLevel="2">
      <c r="A442" s="178">
        <v>40391</v>
      </c>
      <c r="B442" s="82" t="s">
        <v>1962</v>
      </c>
      <c r="C442" s="82" t="s">
        <v>2302</v>
      </c>
      <c r="D442" s="165" t="s">
        <v>1182</v>
      </c>
      <c r="E442" s="167"/>
      <c r="F442" s="66">
        <v>3</v>
      </c>
      <c r="G442" s="66"/>
      <c r="H442" s="66">
        <v>20</v>
      </c>
      <c r="I442" s="66">
        <v>4</v>
      </c>
      <c r="J442" s="66">
        <v>3</v>
      </c>
      <c r="K442" s="66">
        <v>1</v>
      </c>
      <c r="L442" s="66"/>
      <c r="M442" s="66"/>
      <c r="N442" s="66"/>
      <c r="O442" s="66"/>
      <c r="P442" s="66"/>
      <c r="Q442" s="66"/>
      <c r="R442" s="66"/>
      <c r="S442" s="66"/>
      <c r="T442" s="67"/>
      <c r="U442" s="151"/>
      <c r="V442" s="1"/>
      <c r="W442" s="68">
        <f t="shared" si="111"/>
        <v>0</v>
      </c>
      <c r="X442" s="68">
        <f t="shared" si="112"/>
        <v>0</v>
      </c>
      <c r="Y442" s="68">
        <f t="shared" si="113"/>
        <v>0</v>
      </c>
      <c r="Z442" s="68">
        <f t="shared" si="114"/>
        <v>0</v>
      </c>
      <c r="AA442" s="68"/>
      <c r="AB442" s="68">
        <v>0</v>
      </c>
      <c r="AC442" s="69">
        <f t="shared" si="115"/>
        <v>0</v>
      </c>
      <c r="AD442" s="70">
        <v>0</v>
      </c>
      <c r="AE442" s="63">
        <v>40393</v>
      </c>
      <c r="AF442" s="72"/>
      <c r="AG442" s="63" t="s">
        <v>938</v>
      </c>
      <c r="AH442" s="23" t="s">
        <v>939</v>
      </c>
      <c r="AI442" s="60"/>
      <c r="AJ442" s="133" t="s">
        <v>1608</v>
      </c>
      <c r="AK442" s="73" t="s">
        <v>1992</v>
      </c>
      <c r="AL442" s="3"/>
      <c r="AM442" s="4"/>
      <c r="AN442" s="5"/>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6"/>
      <c r="CO442" s="7"/>
      <c r="CP442" s="6"/>
      <c r="CQ442" s="7"/>
      <c r="CR442" s="6"/>
      <c r="CS442" s="7"/>
      <c r="CT442" s="8">
        <f t="shared" si="116"/>
        <v>0</v>
      </c>
      <c r="CU442" s="9"/>
      <c r="CV442" s="10"/>
      <c r="CW442" s="11"/>
      <c r="CX442" s="12"/>
      <c r="CY442" s="26"/>
      <c r="CZ442" s="12"/>
      <c r="DA442" s="9"/>
      <c r="DB442" s="10"/>
      <c r="DC442" s="64"/>
    </row>
    <row r="443" spans="1:108" outlineLevel="2">
      <c r="A443" s="178">
        <v>40405</v>
      </c>
      <c r="B443" s="174" t="s">
        <v>1962</v>
      </c>
      <c r="C443" s="174" t="s">
        <v>1726</v>
      </c>
      <c r="D443" s="179" t="s">
        <v>1262</v>
      </c>
      <c r="E443" s="163"/>
      <c r="F443" s="105"/>
      <c r="G443" s="105"/>
      <c r="H443" s="105">
        <f>371*5</f>
        <v>1855</v>
      </c>
      <c r="I443" s="105">
        <v>371</v>
      </c>
      <c r="J443" s="105"/>
      <c r="K443" s="105">
        <v>371</v>
      </c>
      <c r="L443" s="105"/>
      <c r="M443" s="105"/>
      <c r="N443" s="105"/>
      <c r="O443" s="105"/>
      <c r="P443" s="105"/>
      <c r="Q443" s="105"/>
      <c r="R443" s="105">
        <v>1</v>
      </c>
      <c r="S443" s="105"/>
      <c r="T443" s="106"/>
      <c r="U443" s="130"/>
      <c r="V443" s="1"/>
      <c r="W443" s="68">
        <f t="shared" si="111"/>
        <v>0</v>
      </c>
      <c r="X443" s="68">
        <f t="shared" si="112"/>
        <v>0</v>
      </c>
      <c r="Y443" s="68">
        <f t="shared" si="113"/>
        <v>0</v>
      </c>
      <c r="Z443" s="68">
        <f t="shared" si="114"/>
        <v>0</v>
      </c>
      <c r="AA443" s="68"/>
      <c r="AB443" s="68">
        <v>0</v>
      </c>
      <c r="AC443" s="69">
        <f t="shared" si="115"/>
        <v>0</v>
      </c>
      <c r="AD443" s="70">
        <v>0</v>
      </c>
      <c r="AE443" s="63">
        <v>40430</v>
      </c>
      <c r="AF443" s="72"/>
      <c r="AG443" s="63" t="s">
        <v>938</v>
      </c>
      <c r="AH443" s="23" t="s">
        <v>939</v>
      </c>
      <c r="AI443" s="60"/>
      <c r="AJ443" s="124" t="s">
        <v>1608</v>
      </c>
      <c r="AK443" s="121" t="s">
        <v>1960</v>
      </c>
      <c r="AL443" s="107"/>
      <c r="AM443" s="108"/>
      <c r="AN443" s="109"/>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08"/>
      <c r="CM443" s="108"/>
      <c r="CN443" s="110"/>
      <c r="CO443" s="111"/>
      <c r="CP443" s="110"/>
      <c r="CQ443" s="111"/>
      <c r="CR443" s="110"/>
      <c r="CS443" s="111"/>
      <c r="CT443" s="112">
        <f t="shared" si="116"/>
        <v>0</v>
      </c>
      <c r="CU443" s="113"/>
      <c r="CV443" s="114"/>
      <c r="CW443" s="115"/>
      <c r="CX443" s="116"/>
      <c r="CY443" s="117"/>
      <c r="CZ443" s="116"/>
      <c r="DA443" s="113"/>
      <c r="DB443" s="114"/>
      <c r="DC443" s="64"/>
      <c r="DD443" s="118">
        <v>1270</v>
      </c>
    </row>
    <row r="444" spans="1:108" outlineLevel="2">
      <c r="A444" s="178">
        <v>40410</v>
      </c>
      <c r="B444" s="174" t="s">
        <v>1962</v>
      </c>
      <c r="C444" s="174" t="s">
        <v>1209</v>
      </c>
      <c r="D444" s="179" t="s">
        <v>435</v>
      </c>
      <c r="E444" s="163"/>
      <c r="F444" s="105"/>
      <c r="G444" s="105"/>
      <c r="H444" s="105">
        <v>40</v>
      </c>
      <c r="I444" s="105">
        <v>8</v>
      </c>
      <c r="J444" s="105"/>
      <c r="K444" s="105">
        <v>8</v>
      </c>
      <c r="L444" s="105"/>
      <c r="M444" s="105"/>
      <c r="N444" s="105"/>
      <c r="O444" s="105"/>
      <c r="P444" s="105"/>
      <c r="Q444" s="105"/>
      <c r="R444" s="105"/>
      <c r="S444" s="105"/>
      <c r="T444" s="106"/>
      <c r="U444" s="130"/>
      <c r="V444" s="1"/>
      <c r="W444" s="68">
        <f t="shared" si="111"/>
        <v>0</v>
      </c>
      <c r="X444" s="68">
        <f t="shared" si="112"/>
        <v>0</v>
      </c>
      <c r="Y444" s="68">
        <f t="shared" si="113"/>
        <v>0</v>
      </c>
      <c r="Z444" s="68">
        <f t="shared" si="114"/>
        <v>0</v>
      </c>
      <c r="AA444" s="68"/>
      <c r="AB444" s="68">
        <v>0</v>
      </c>
      <c r="AC444" s="69">
        <f t="shared" si="115"/>
        <v>0</v>
      </c>
      <c r="AD444" s="70">
        <v>0</v>
      </c>
      <c r="AE444" s="63">
        <v>40430</v>
      </c>
      <c r="AF444" s="72"/>
      <c r="AG444" s="63" t="s">
        <v>938</v>
      </c>
      <c r="AH444" s="23" t="s">
        <v>939</v>
      </c>
      <c r="AI444" s="60"/>
      <c r="AJ444" s="124" t="s">
        <v>1608</v>
      </c>
      <c r="AK444" s="121" t="s">
        <v>2053</v>
      </c>
      <c r="AL444" s="107"/>
      <c r="AM444" s="108"/>
      <c r="AN444" s="109"/>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08"/>
      <c r="CM444" s="108"/>
      <c r="CN444" s="110"/>
      <c r="CO444" s="111"/>
      <c r="CP444" s="110"/>
      <c r="CQ444" s="111"/>
      <c r="CR444" s="110"/>
      <c r="CS444" s="111"/>
      <c r="CT444" s="112">
        <f t="shared" si="116"/>
        <v>0</v>
      </c>
      <c r="CU444" s="113"/>
      <c r="CV444" s="114"/>
      <c r="CW444" s="115"/>
      <c r="CX444" s="116"/>
      <c r="CY444" s="117"/>
      <c r="CZ444" s="116"/>
      <c r="DA444" s="113"/>
      <c r="DB444" s="114"/>
      <c r="DC444" s="64"/>
      <c r="DD444" s="118"/>
    </row>
    <row r="445" spans="1:108" ht="36" outlineLevel="2">
      <c r="A445" s="178">
        <v>40443</v>
      </c>
      <c r="B445" s="164" t="s">
        <v>1962</v>
      </c>
      <c r="C445" s="164" t="s">
        <v>1726</v>
      </c>
      <c r="D445" s="166" t="s">
        <v>1262</v>
      </c>
      <c r="E445" s="163"/>
      <c r="F445" s="105"/>
      <c r="G445" s="105"/>
      <c r="H445" s="105">
        <v>110</v>
      </c>
      <c r="I445" s="105">
        <v>22</v>
      </c>
      <c r="J445" s="105">
        <v>1</v>
      </c>
      <c r="K445" s="105">
        <v>21</v>
      </c>
      <c r="L445" s="105"/>
      <c r="M445" s="105"/>
      <c r="N445" s="105"/>
      <c r="O445" s="105"/>
      <c r="P445" s="105"/>
      <c r="Q445" s="105"/>
      <c r="R445" s="105"/>
      <c r="S445" s="105"/>
      <c r="T445" s="106"/>
      <c r="U445" s="130"/>
      <c r="V445" s="1"/>
      <c r="W445" s="68">
        <f t="shared" si="111"/>
        <v>0</v>
      </c>
      <c r="X445" s="68">
        <f t="shared" si="112"/>
        <v>0</v>
      </c>
      <c r="Y445" s="68">
        <f t="shared" si="113"/>
        <v>0</v>
      </c>
      <c r="Z445" s="68">
        <f t="shared" si="114"/>
        <v>0</v>
      </c>
      <c r="AA445" s="68"/>
      <c r="AB445" s="68">
        <v>0</v>
      </c>
      <c r="AC445" s="69">
        <f t="shared" si="115"/>
        <v>0</v>
      </c>
      <c r="AD445" s="70">
        <v>0</v>
      </c>
      <c r="AE445" s="63">
        <v>40444</v>
      </c>
      <c r="AF445" s="72"/>
      <c r="AG445" s="63" t="s">
        <v>938</v>
      </c>
      <c r="AH445" s="23" t="s">
        <v>939</v>
      </c>
      <c r="AI445" s="60"/>
      <c r="AJ445" s="124" t="s">
        <v>1608</v>
      </c>
      <c r="AK445" s="121" t="s">
        <v>1345</v>
      </c>
      <c r="AL445" s="107"/>
      <c r="AM445" s="108"/>
      <c r="AN445" s="109"/>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08"/>
      <c r="CM445" s="108"/>
      <c r="CN445" s="110"/>
      <c r="CO445" s="111"/>
      <c r="CP445" s="110"/>
      <c r="CQ445" s="111"/>
      <c r="CR445" s="110"/>
      <c r="CS445" s="111"/>
      <c r="CT445" s="112">
        <f t="shared" si="116"/>
        <v>0</v>
      </c>
      <c r="CU445" s="113"/>
      <c r="CV445" s="114"/>
      <c r="CW445" s="115"/>
      <c r="CX445" s="116"/>
      <c r="CY445" s="117"/>
      <c r="CZ445" s="116"/>
      <c r="DA445" s="113"/>
      <c r="DB445" s="114"/>
      <c r="DC445" s="64"/>
      <c r="DD445" s="118"/>
    </row>
    <row r="446" spans="1:108" ht="24" outlineLevel="2">
      <c r="A446" s="178">
        <v>40443</v>
      </c>
      <c r="B446" s="164" t="s">
        <v>1962</v>
      </c>
      <c r="C446" s="164" t="s">
        <v>1209</v>
      </c>
      <c r="D446" s="166" t="s">
        <v>1262</v>
      </c>
      <c r="E446" s="163"/>
      <c r="F446" s="105"/>
      <c r="G446" s="105"/>
      <c r="H446" s="105">
        <v>105</v>
      </c>
      <c r="I446" s="105">
        <v>21</v>
      </c>
      <c r="J446" s="105"/>
      <c r="K446" s="105">
        <v>21</v>
      </c>
      <c r="L446" s="105"/>
      <c r="M446" s="105"/>
      <c r="N446" s="105"/>
      <c r="O446" s="105"/>
      <c r="P446" s="105"/>
      <c r="Q446" s="105"/>
      <c r="R446" s="105"/>
      <c r="S446" s="105"/>
      <c r="T446" s="106"/>
      <c r="U446" s="130"/>
      <c r="V446" s="1"/>
      <c r="W446" s="68">
        <f t="shared" si="111"/>
        <v>0</v>
      </c>
      <c r="X446" s="68">
        <f t="shared" si="112"/>
        <v>0</v>
      </c>
      <c r="Y446" s="68">
        <f t="shared" si="113"/>
        <v>0</v>
      </c>
      <c r="Z446" s="68">
        <f t="shared" si="114"/>
        <v>0</v>
      </c>
      <c r="AA446" s="68"/>
      <c r="AB446" s="68">
        <v>0</v>
      </c>
      <c r="AC446" s="69">
        <f t="shared" si="115"/>
        <v>0</v>
      </c>
      <c r="AD446" s="70">
        <v>0</v>
      </c>
      <c r="AE446" s="63">
        <v>40444</v>
      </c>
      <c r="AF446" s="72"/>
      <c r="AG446" s="63" t="s">
        <v>938</v>
      </c>
      <c r="AH446" s="23" t="s">
        <v>939</v>
      </c>
      <c r="AI446" s="60"/>
      <c r="AJ446" s="124" t="s">
        <v>1608</v>
      </c>
      <c r="AK446" s="121" t="s">
        <v>1347</v>
      </c>
      <c r="AL446" s="107"/>
      <c r="AM446" s="108"/>
      <c r="AN446" s="109"/>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08"/>
      <c r="CM446" s="108"/>
      <c r="CN446" s="110"/>
      <c r="CO446" s="111"/>
      <c r="CP446" s="110"/>
      <c r="CQ446" s="111"/>
      <c r="CR446" s="110"/>
      <c r="CS446" s="111"/>
      <c r="CT446" s="112">
        <f t="shared" si="116"/>
        <v>0</v>
      </c>
      <c r="CU446" s="113"/>
      <c r="CV446" s="114"/>
      <c r="CW446" s="115"/>
      <c r="CX446" s="116"/>
      <c r="CY446" s="117"/>
      <c r="CZ446" s="116"/>
      <c r="DA446" s="113"/>
      <c r="DB446" s="114"/>
      <c r="DC446" s="64"/>
      <c r="DD446" s="118"/>
    </row>
    <row r="447" spans="1:108" outlineLevel="2">
      <c r="A447" s="178">
        <v>40448</v>
      </c>
      <c r="B447" s="164" t="s">
        <v>1962</v>
      </c>
      <c r="C447" s="164" t="s">
        <v>736</v>
      </c>
      <c r="D447" s="165" t="s">
        <v>1182</v>
      </c>
      <c r="E447" s="163">
        <v>4</v>
      </c>
      <c r="F447" s="105"/>
      <c r="G447" s="105"/>
      <c r="H447" s="105">
        <f>136*5</f>
        <v>680</v>
      </c>
      <c r="I447" s="105">
        <v>136</v>
      </c>
      <c r="J447" s="105">
        <v>1</v>
      </c>
      <c r="K447" s="105">
        <v>135</v>
      </c>
      <c r="L447" s="105"/>
      <c r="M447" s="105"/>
      <c r="N447" s="105"/>
      <c r="O447" s="105"/>
      <c r="P447" s="105"/>
      <c r="Q447" s="105"/>
      <c r="R447" s="105"/>
      <c r="S447" s="105"/>
      <c r="T447" s="106"/>
      <c r="U447" s="130"/>
      <c r="V447" s="1"/>
      <c r="W447" s="68">
        <f t="shared" si="111"/>
        <v>0</v>
      </c>
      <c r="X447" s="68">
        <f t="shared" si="112"/>
        <v>0</v>
      </c>
      <c r="Y447" s="68">
        <f t="shared" si="113"/>
        <v>0</v>
      </c>
      <c r="Z447" s="68">
        <f t="shared" si="114"/>
        <v>0</v>
      </c>
      <c r="AA447" s="68"/>
      <c r="AB447" s="68">
        <v>0</v>
      </c>
      <c r="AC447" s="69">
        <f t="shared" si="115"/>
        <v>0</v>
      </c>
      <c r="AD447" s="70">
        <v>0</v>
      </c>
      <c r="AE447" s="63">
        <v>40449</v>
      </c>
      <c r="AF447" s="72"/>
      <c r="AG447" s="63" t="s">
        <v>938</v>
      </c>
      <c r="AH447" s="23" t="s">
        <v>939</v>
      </c>
      <c r="AI447" s="60"/>
      <c r="AJ447" s="124" t="s">
        <v>1608</v>
      </c>
      <c r="AK447" s="121" t="s">
        <v>737</v>
      </c>
      <c r="AL447" s="107"/>
      <c r="AM447" s="108"/>
      <c r="AN447" s="109"/>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08"/>
      <c r="CM447" s="108"/>
      <c r="CN447" s="110"/>
      <c r="CO447" s="111"/>
      <c r="CP447" s="110"/>
      <c r="CQ447" s="111"/>
      <c r="CR447" s="110"/>
      <c r="CS447" s="111"/>
      <c r="CT447" s="112">
        <f t="shared" si="116"/>
        <v>0</v>
      </c>
      <c r="CU447" s="113"/>
      <c r="CV447" s="114"/>
      <c r="CW447" s="115"/>
      <c r="CX447" s="116"/>
      <c r="CY447" s="117"/>
      <c r="CZ447" s="116"/>
      <c r="DA447" s="113"/>
      <c r="DB447" s="114"/>
      <c r="DC447" s="64"/>
      <c r="DD447" s="118"/>
    </row>
    <row r="448" spans="1:108" outlineLevel="2">
      <c r="A448" s="178">
        <v>40458</v>
      </c>
      <c r="B448" s="164" t="s">
        <v>1962</v>
      </c>
      <c r="C448" s="164" t="s">
        <v>758</v>
      </c>
      <c r="D448" s="166" t="s">
        <v>435</v>
      </c>
      <c r="E448" s="163"/>
      <c r="F448" s="105"/>
      <c r="G448" s="105"/>
      <c r="H448" s="105">
        <v>75</v>
      </c>
      <c r="I448" s="105">
        <v>15</v>
      </c>
      <c r="J448" s="105"/>
      <c r="K448" s="105">
        <v>15</v>
      </c>
      <c r="L448" s="105"/>
      <c r="M448" s="105"/>
      <c r="N448" s="105"/>
      <c r="O448" s="105"/>
      <c r="P448" s="105"/>
      <c r="Q448" s="105"/>
      <c r="R448" s="105"/>
      <c r="S448" s="105"/>
      <c r="T448" s="106"/>
      <c r="U448" s="130"/>
      <c r="V448" s="1"/>
      <c r="W448" s="68">
        <f t="shared" si="111"/>
        <v>0</v>
      </c>
      <c r="X448" s="68">
        <f t="shared" si="112"/>
        <v>0</v>
      </c>
      <c r="Y448" s="68">
        <f t="shared" si="113"/>
        <v>0</v>
      </c>
      <c r="Z448" s="68">
        <f t="shared" si="114"/>
        <v>0</v>
      </c>
      <c r="AA448" s="68"/>
      <c r="AB448" s="68">
        <v>0</v>
      </c>
      <c r="AC448" s="69">
        <f t="shared" si="115"/>
        <v>0</v>
      </c>
      <c r="AD448" s="70">
        <v>0</v>
      </c>
      <c r="AE448" s="63">
        <v>40484</v>
      </c>
      <c r="AF448" s="72"/>
      <c r="AG448" s="63" t="s">
        <v>938</v>
      </c>
      <c r="AH448" s="23" t="s">
        <v>939</v>
      </c>
      <c r="AI448" s="83"/>
      <c r="AJ448" s="124" t="s">
        <v>1608</v>
      </c>
      <c r="AK448" s="121" t="s">
        <v>1612</v>
      </c>
      <c r="AL448" s="107"/>
      <c r="AM448" s="108"/>
      <c r="AN448" s="109"/>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08"/>
      <c r="CM448" s="108"/>
      <c r="CN448" s="110"/>
      <c r="CO448" s="111"/>
      <c r="CP448" s="110"/>
      <c r="CQ448" s="111"/>
      <c r="CR448" s="110"/>
      <c r="CS448" s="111"/>
      <c r="CT448" s="112">
        <f t="shared" si="116"/>
        <v>0</v>
      </c>
      <c r="CU448" s="113"/>
      <c r="CV448" s="114"/>
      <c r="CW448" s="115"/>
      <c r="CX448" s="116"/>
      <c r="CY448" s="117"/>
      <c r="CZ448" s="116"/>
      <c r="DA448" s="113"/>
      <c r="DB448" s="114"/>
      <c r="DC448" s="64"/>
      <c r="DD448" s="118"/>
    </row>
    <row r="449" spans="1:108" ht="48" outlineLevel="2">
      <c r="A449" s="178">
        <v>40465</v>
      </c>
      <c r="B449" s="164" t="s">
        <v>1962</v>
      </c>
      <c r="C449" s="164" t="s">
        <v>2302</v>
      </c>
      <c r="D449" s="165" t="s">
        <v>1182</v>
      </c>
      <c r="E449" s="163">
        <v>1</v>
      </c>
      <c r="F449" s="105"/>
      <c r="G449" s="105"/>
      <c r="H449" s="105"/>
      <c r="I449" s="105"/>
      <c r="J449" s="105"/>
      <c r="K449" s="105"/>
      <c r="L449" s="105"/>
      <c r="M449" s="105"/>
      <c r="N449" s="105"/>
      <c r="O449" s="105"/>
      <c r="P449" s="105"/>
      <c r="Q449" s="105"/>
      <c r="R449" s="105"/>
      <c r="S449" s="105"/>
      <c r="T449" s="106"/>
      <c r="U449" s="130"/>
      <c r="V449" s="1"/>
      <c r="W449" s="68">
        <f t="shared" si="111"/>
        <v>0</v>
      </c>
      <c r="X449" s="68">
        <f t="shared" si="112"/>
        <v>0</v>
      </c>
      <c r="Y449" s="68">
        <f t="shared" si="113"/>
        <v>0</v>
      </c>
      <c r="Z449" s="68">
        <f t="shared" si="114"/>
        <v>0</v>
      </c>
      <c r="AA449" s="68"/>
      <c r="AB449" s="68">
        <v>0</v>
      </c>
      <c r="AC449" s="69">
        <f t="shared" si="115"/>
        <v>0</v>
      </c>
      <c r="AD449" s="70">
        <v>0</v>
      </c>
      <c r="AE449" s="63">
        <v>40465</v>
      </c>
      <c r="AF449" s="72"/>
      <c r="AG449" s="63" t="s">
        <v>938</v>
      </c>
      <c r="AH449" s="23" t="s">
        <v>939</v>
      </c>
      <c r="AI449" s="60"/>
      <c r="AJ449" s="124" t="s">
        <v>1608</v>
      </c>
      <c r="AK449" s="121" t="s">
        <v>829</v>
      </c>
      <c r="AL449" s="107"/>
      <c r="AM449" s="108"/>
      <c r="AN449" s="109"/>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08"/>
      <c r="CM449" s="108"/>
      <c r="CN449" s="110"/>
      <c r="CO449" s="111"/>
      <c r="CP449" s="110"/>
      <c r="CQ449" s="111"/>
      <c r="CR449" s="110"/>
      <c r="CS449" s="111"/>
      <c r="CT449" s="112">
        <f t="shared" si="116"/>
        <v>0</v>
      </c>
      <c r="CU449" s="113"/>
      <c r="CV449" s="114"/>
      <c r="CW449" s="115"/>
      <c r="CX449" s="116"/>
      <c r="CY449" s="117"/>
      <c r="CZ449" s="116"/>
      <c r="DA449" s="113"/>
      <c r="DB449" s="114"/>
      <c r="DC449" s="64"/>
      <c r="DD449" s="118"/>
    </row>
    <row r="450" spans="1:108" outlineLevel="2">
      <c r="A450" s="178">
        <v>40475</v>
      </c>
      <c r="B450" s="164" t="s">
        <v>1962</v>
      </c>
      <c r="C450" s="164" t="s">
        <v>956</v>
      </c>
      <c r="D450" s="166" t="s">
        <v>435</v>
      </c>
      <c r="E450" s="163"/>
      <c r="F450" s="105"/>
      <c r="G450" s="105"/>
      <c r="H450" s="105">
        <v>25</v>
      </c>
      <c r="I450" s="105">
        <v>5</v>
      </c>
      <c r="J450" s="105"/>
      <c r="K450" s="105">
        <v>5</v>
      </c>
      <c r="L450" s="105"/>
      <c r="M450" s="105"/>
      <c r="N450" s="105"/>
      <c r="O450" s="105"/>
      <c r="P450" s="105"/>
      <c r="Q450" s="105"/>
      <c r="R450" s="105"/>
      <c r="S450" s="105"/>
      <c r="T450" s="106"/>
      <c r="U450" s="130"/>
      <c r="V450" s="1"/>
      <c r="W450" s="68">
        <f t="shared" si="111"/>
        <v>0</v>
      </c>
      <c r="X450" s="68">
        <f t="shared" si="112"/>
        <v>0</v>
      </c>
      <c r="Y450" s="68">
        <f t="shared" si="113"/>
        <v>0</v>
      </c>
      <c r="Z450" s="68">
        <f t="shared" si="114"/>
        <v>0</v>
      </c>
      <c r="AA450" s="68"/>
      <c r="AB450" s="68">
        <v>0</v>
      </c>
      <c r="AC450" s="69">
        <f t="shared" si="115"/>
        <v>0</v>
      </c>
      <c r="AD450" s="70">
        <v>0</v>
      </c>
      <c r="AE450" s="63">
        <v>40484</v>
      </c>
      <c r="AF450" s="72"/>
      <c r="AG450" s="63" t="s">
        <v>938</v>
      </c>
      <c r="AH450" s="23" t="s">
        <v>939</v>
      </c>
      <c r="AI450" s="83"/>
      <c r="AJ450" s="124" t="s">
        <v>1608</v>
      </c>
      <c r="AK450" s="121" t="s">
        <v>986</v>
      </c>
      <c r="AL450" s="107"/>
      <c r="AM450" s="108"/>
      <c r="AN450" s="109"/>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08"/>
      <c r="CM450" s="108"/>
      <c r="CN450" s="110"/>
      <c r="CO450" s="111"/>
      <c r="CP450" s="110"/>
      <c r="CQ450" s="111"/>
      <c r="CR450" s="110"/>
      <c r="CS450" s="111"/>
      <c r="CT450" s="112">
        <f t="shared" si="116"/>
        <v>0</v>
      </c>
      <c r="CU450" s="113"/>
      <c r="CV450" s="114"/>
      <c r="CW450" s="115"/>
      <c r="CX450" s="116"/>
      <c r="CY450" s="117"/>
      <c r="CZ450" s="116"/>
      <c r="DA450" s="113"/>
      <c r="DB450" s="114"/>
      <c r="DC450" s="64"/>
      <c r="DD450" s="118"/>
    </row>
    <row r="451" spans="1:108" ht="36" outlineLevel="2">
      <c r="A451" s="178">
        <v>40479</v>
      </c>
      <c r="B451" s="164" t="s">
        <v>1962</v>
      </c>
      <c r="C451" s="164" t="s">
        <v>2302</v>
      </c>
      <c r="D451" s="166" t="s">
        <v>1262</v>
      </c>
      <c r="E451" s="163"/>
      <c r="F451" s="105"/>
      <c r="G451" s="105"/>
      <c r="H451" s="105">
        <v>120</v>
      </c>
      <c r="I451" s="105">
        <v>24</v>
      </c>
      <c r="J451" s="105">
        <v>1</v>
      </c>
      <c r="K451" s="105">
        <v>23</v>
      </c>
      <c r="L451" s="105"/>
      <c r="M451" s="105"/>
      <c r="N451" s="105"/>
      <c r="O451" s="105"/>
      <c r="P451" s="105"/>
      <c r="Q451" s="105"/>
      <c r="R451" s="105"/>
      <c r="S451" s="105"/>
      <c r="T451" s="106"/>
      <c r="U451" s="130"/>
      <c r="V451" s="1"/>
      <c r="W451" s="68">
        <f t="shared" si="111"/>
        <v>0</v>
      </c>
      <c r="X451" s="68">
        <f t="shared" si="112"/>
        <v>0</v>
      </c>
      <c r="Y451" s="68">
        <f t="shared" si="113"/>
        <v>0</v>
      </c>
      <c r="Z451" s="68">
        <f t="shared" si="114"/>
        <v>0</v>
      </c>
      <c r="AA451" s="68"/>
      <c r="AB451" s="68">
        <v>0</v>
      </c>
      <c r="AC451" s="69">
        <f t="shared" si="115"/>
        <v>0</v>
      </c>
      <c r="AD451" s="70">
        <v>0</v>
      </c>
      <c r="AE451" s="63">
        <v>40482</v>
      </c>
      <c r="AF451" s="72"/>
      <c r="AG451" s="63" t="s">
        <v>938</v>
      </c>
      <c r="AH451" s="23" t="s">
        <v>939</v>
      </c>
      <c r="AI451" s="60"/>
      <c r="AJ451" s="124" t="s">
        <v>1608</v>
      </c>
      <c r="AK451" s="121" t="s">
        <v>983</v>
      </c>
      <c r="AL451" s="107"/>
      <c r="AM451" s="108"/>
      <c r="AN451" s="109"/>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08"/>
      <c r="CM451" s="108"/>
      <c r="CN451" s="110"/>
      <c r="CO451" s="111"/>
      <c r="CP451" s="110"/>
      <c r="CQ451" s="111"/>
      <c r="CR451" s="110"/>
      <c r="CS451" s="111"/>
      <c r="CT451" s="112">
        <f t="shared" si="116"/>
        <v>0</v>
      </c>
      <c r="CU451" s="113"/>
      <c r="CV451" s="114"/>
      <c r="CW451" s="115"/>
      <c r="CX451" s="116"/>
      <c r="CY451" s="117"/>
      <c r="CZ451" s="116"/>
      <c r="DA451" s="113"/>
      <c r="DB451" s="114"/>
      <c r="DC451" s="64"/>
      <c r="DD451" s="118"/>
    </row>
    <row r="452" spans="1:108" outlineLevel="2">
      <c r="A452" s="178">
        <v>40479</v>
      </c>
      <c r="B452" s="164" t="s">
        <v>1962</v>
      </c>
      <c r="C452" s="164" t="s">
        <v>616</v>
      </c>
      <c r="D452" s="165" t="s">
        <v>1182</v>
      </c>
      <c r="E452" s="163"/>
      <c r="F452" s="105"/>
      <c r="G452" s="105"/>
      <c r="H452" s="105">
        <v>5</v>
      </c>
      <c r="I452" s="105">
        <v>1</v>
      </c>
      <c r="J452" s="105"/>
      <c r="K452" s="105">
        <v>1</v>
      </c>
      <c r="L452" s="105"/>
      <c r="M452" s="105"/>
      <c r="N452" s="105"/>
      <c r="O452" s="105"/>
      <c r="P452" s="105"/>
      <c r="Q452" s="105"/>
      <c r="R452" s="105"/>
      <c r="S452" s="105"/>
      <c r="T452" s="106"/>
      <c r="U452" s="130"/>
      <c r="V452" s="1"/>
      <c r="W452" s="68">
        <f t="shared" si="111"/>
        <v>0</v>
      </c>
      <c r="X452" s="68">
        <f t="shared" si="112"/>
        <v>0</v>
      </c>
      <c r="Y452" s="68">
        <f t="shared" si="113"/>
        <v>0</v>
      </c>
      <c r="Z452" s="68">
        <f t="shared" si="114"/>
        <v>0</v>
      </c>
      <c r="AA452" s="68"/>
      <c r="AB452" s="68">
        <v>0</v>
      </c>
      <c r="AC452" s="69">
        <f t="shared" si="115"/>
        <v>0</v>
      </c>
      <c r="AD452" s="70">
        <v>0</v>
      </c>
      <c r="AE452" s="63">
        <v>40484</v>
      </c>
      <c r="AF452" s="72"/>
      <c r="AG452" s="63" t="s">
        <v>938</v>
      </c>
      <c r="AH452" s="23" t="s">
        <v>939</v>
      </c>
      <c r="AI452" s="83"/>
      <c r="AJ452" s="124" t="s">
        <v>1608</v>
      </c>
      <c r="AK452" s="121" t="s">
        <v>1960</v>
      </c>
      <c r="AL452" s="107"/>
      <c r="AM452" s="108"/>
      <c r="AN452" s="109"/>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08"/>
      <c r="CM452" s="108"/>
      <c r="CN452" s="110"/>
      <c r="CO452" s="111"/>
      <c r="CP452" s="110"/>
      <c r="CQ452" s="111"/>
      <c r="CR452" s="110"/>
      <c r="CS452" s="111"/>
      <c r="CT452" s="112">
        <f t="shared" si="116"/>
        <v>0</v>
      </c>
      <c r="CU452" s="113"/>
      <c r="CV452" s="114"/>
      <c r="CW452" s="115"/>
      <c r="CX452" s="116"/>
      <c r="CY452" s="117"/>
      <c r="CZ452" s="116"/>
      <c r="DA452" s="113"/>
      <c r="DB452" s="114"/>
      <c r="DC452" s="64"/>
      <c r="DD452" s="118"/>
    </row>
    <row r="453" spans="1:108" ht="24" outlineLevel="2">
      <c r="A453" s="178">
        <v>40479</v>
      </c>
      <c r="B453" s="164" t="s">
        <v>1962</v>
      </c>
      <c r="C453" s="164" t="s">
        <v>984</v>
      </c>
      <c r="D453" s="166" t="s">
        <v>1262</v>
      </c>
      <c r="E453" s="163"/>
      <c r="F453" s="105"/>
      <c r="G453" s="105"/>
      <c r="H453" s="105">
        <v>20</v>
      </c>
      <c r="I453" s="105">
        <v>4</v>
      </c>
      <c r="J453" s="105">
        <v>1</v>
      </c>
      <c r="K453" s="105">
        <v>3</v>
      </c>
      <c r="L453" s="105"/>
      <c r="M453" s="105"/>
      <c r="N453" s="105"/>
      <c r="O453" s="105"/>
      <c r="P453" s="105"/>
      <c r="Q453" s="105"/>
      <c r="R453" s="105"/>
      <c r="S453" s="105"/>
      <c r="T453" s="106"/>
      <c r="U453" s="130"/>
      <c r="V453" s="1"/>
      <c r="W453" s="68">
        <f t="shared" si="111"/>
        <v>0</v>
      </c>
      <c r="X453" s="68">
        <f t="shared" si="112"/>
        <v>0</v>
      </c>
      <c r="Y453" s="68">
        <f t="shared" si="113"/>
        <v>0</v>
      </c>
      <c r="Z453" s="68">
        <f t="shared" si="114"/>
        <v>0</v>
      </c>
      <c r="AA453" s="68"/>
      <c r="AB453" s="68">
        <v>0</v>
      </c>
      <c r="AC453" s="69">
        <f t="shared" si="115"/>
        <v>0</v>
      </c>
      <c r="AD453" s="70">
        <v>0</v>
      </c>
      <c r="AE453" s="63">
        <v>40484</v>
      </c>
      <c r="AF453" s="72"/>
      <c r="AG453" s="63" t="s">
        <v>938</v>
      </c>
      <c r="AH453" s="23" t="s">
        <v>939</v>
      </c>
      <c r="AI453" s="83"/>
      <c r="AJ453" s="124" t="s">
        <v>1608</v>
      </c>
      <c r="AK453" s="121" t="s">
        <v>985</v>
      </c>
      <c r="AL453" s="107"/>
      <c r="AM453" s="108"/>
      <c r="AN453" s="109"/>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08"/>
      <c r="CM453" s="108"/>
      <c r="CN453" s="110"/>
      <c r="CO453" s="111"/>
      <c r="CP453" s="110"/>
      <c r="CQ453" s="111"/>
      <c r="CR453" s="110"/>
      <c r="CS453" s="111"/>
      <c r="CT453" s="112">
        <f t="shared" si="116"/>
        <v>0</v>
      </c>
      <c r="CU453" s="113"/>
      <c r="CV453" s="114"/>
      <c r="CW453" s="115"/>
      <c r="CX453" s="116"/>
      <c r="CY453" s="117"/>
      <c r="CZ453" s="116"/>
      <c r="DA453" s="113"/>
      <c r="DB453" s="114"/>
      <c r="DC453" s="64"/>
      <c r="DD453" s="118"/>
    </row>
    <row r="454" spans="1:108" ht="48" outlineLevel="2">
      <c r="A454" s="178">
        <v>40482</v>
      </c>
      <c r="B454" s="164" t="s">
        <v>1962</v>
      </c>
      <c r="C454" s="164" t="s">
        <v>361</v>
      </c>
      <c r="D454" s="165" t="s">
        <v>1182</v>
      </c>
      <c r="E454" s="163"/>
      <c r="F454" s="105"/>
      <c r="G454" s="105"/>
      <c r="H454" s="105"/>
      <c r="I454" s="105"/>
      <c r="J454" s="105"/>
      <c r="K454" s="105"/>
      <c r="L454" s="105"/>
      <c r="M454" s="105"/>
      <c r="N454" s="105"/>
      <c r="O454" s="105">
        <v>1</v>
      </c>
      <c r="P454" s="105"/>
      <c r="Q454" s="105"/>
      <c r="R454" s="105"/>
      <c r="S454" s="105"/>
      <c r="T454" s="106"/>
      <c r="U454" s="130"/>
      <c r="V454" s="1"/>
      <c r="W454" s="68">
        <f t="shared" si="111"/>
        <v>0</v>
      </c>
      <c r="X454" s="68">
        <f t="shared" si="112"/>
        <v>0</v>
      </c>
      <c r="Y454" s="68">
        <f t="shared" si="113"/>
        <v>0</v>
      </c>
      <c r="Z454" s="68">
        <f t="shared" si="114"/>
        <v>0</v>
      </c>
      <c r="AA454" s="68"/>
      <c r="AB454" s="68">
        <v>0</v>
      </c>
      <c r="AC454" s="69">
        <f t="shared" si="115"/>
        <v>0</v>
      </c>
      <c r="AD454" s="70">
        <v>0</v>
      </c>
      <c r="AE454" s="63">
        <v>40484</v>
      </c>
      <c r="AF454" s="72"/>
      <c r="AG454" s="63" t="s">
        <v>938</v>
      </c>
      <c r="AH454" s="23" t="s">
        <v>939</v>
      </c>
      <c r="AI454" s="83"/>
      <c r="AJ454" s="124" t="s">
        <v>1608</v>
      </c>
      <c r="AK454" s="121" t="s">
        <v>362</v>
      </c>
      <c r="AL454" s="107"/>
      <c r="AM454" s="108"/>
      <c r="AN454" s="109"/>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08"/>
      <c r="CM454" s="108"/>
      <c r="CN454" s="110"/>
      <c r="CO454" s="111"/>
      <c r="CP454" s="110"/>
      <c r="CQ454" s="111"/>
      <c r="CR454" s="110"/>
      <c r="CS454" s="111"/>
      <c r="CT454" s="112">
        <f t="shared" si="116"/>
        <v>0</v>
      </c>
      <c r="CU454" s="113"/>
      <c r="CV454" s="114"/>
      <c r="CW454" s="115"/>
      <c r="CX454" s="116"/>
      <c r="CY454" s="117"/>
      <c r="CZ454" s="116"/>
      <c r="DA454" s="113"/>
      <c r="DB454" s="114"/>
      <c r="DC454" s="64"/>
      <c r="DD454" s="118"/>
    </row>
    <row r="455" spans="1:108" ht="36" outlineLevel="2">
      <c r="A455" s="178">
        <v>40483</v>
      </c>
      <c r="B455" s="164" t="s">
        <v>1962</v>
      </c>
      <c r="C455" s="164" t="s">
        <v>758</v>
      </c>
      <c r="D455" s="166" t="s">
        <v>1182</v>
      </c>
      <c r="E455" s="163"/>
      <c r="F455" s="105"/>
      <c r="G455" s="105"/>
      <c r="H455" s="105">
        <f>32*5</f>
        <v>160</v>
      </c>
      <c r="I455" s="105">
        <v>32</v>
      </c>
      <c r="J455" s="105"/>
      <c r="K455" s="105"/>
      <c r="L455" s="105">
        <v>2</v>
      </c>
      <c r="M455" s="105"/>
      <c r="N455" s="105"/>
      <c r="O455" s="105"/>
      <c r="P455" s="105"/>
      <c r="Q455" s="105"/>
      <c r="R455" s="105"/>
      <c r="S455" s="105"/>
      <c r="T455" s="106"/>
      <c r="U455" s="130"/>
      <c r="V455" s="1"/>
      <c r="W455" s="68">
        <f t="shared" si="111"/>
        <v>0</v>
      </c>
      <c r="X455" s="68">
        <f t="shared" si="112"/>
        <v>0</v>
      </c>
      <c r="Y455" s="68">
        <f t="shared" si="113"/>
        <v>0</v>
      </c>
      <c r="Z455" s="68">
        <f t="shared" si="114"/>
        <v>0</v>
      </c>
      <c r="AA455" s="68"/>
      <c r="AB455" s="68">
        <v>0</v>
      </c>
      <c r="AC455" s="69">
        <f t="shared" si="115"/>
        <v>0</v>
      </c>
      <c r="AD455" s="70">
        <v>0</v>
      </c>
      <c r="AE455" s="63"/>
      <c r="AF455" s="72"/>
      <c r="AG455" s="63"/>
      <c r="AH455" s="23"/>
      <c r="AI455" s="60"/>
      <c r="AJ455" s="124"/>
      <c r="AK455" s="121" t="s">
        <v>2114</v>
      </c>
      <c r="AL455" s="107"/>
      <c r="AM455" s="108"/>
      <c r="AN455" s="109"/>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08"/>
      <c r="CM455" s="108"/>
      <c r="CN455" s="110"/>
      <c r="CO455" s="111"/>
      <c r="CP455" s="110"/>
      <c r="CQ455" s="111"/>
      <c r="CR455" s="110"/>
      <c r="CS455" s="111"/>
      <c r="CT455" s="112">
        <f t="shared" si="116"/>
        <v>0</v>
      </c>
      <c r="CU455" s="113"/>
      <c r="CV455" s="114"/>
      <c r="CW455" s="115"/>
      <c r="CX455" s="116"/>
      <c r="CY455" s="117"/>
      <c r="CZ455" s="116"/>
      <c r="DA455" s="113"/>
      <c r="DB455" s="114"/>
      <c r="DC455" s="64"/>
      <c r="DD455" s="118"/>
    </row>
    <row r="456" spans="1:108" ht="24" outlineLevel="2">
      <c r="A456" s="178">
        <v>40486</v>
      </c>
      <c r="B456" s="164" t="s">
        <v>1962</v>
      </c>
      <c r="C456" s="164" t="s">
        <v>2302</v>
      </c>
      <c r="D456" s="165" t="s">
        <v>1182</v>
      </c>
      <c r="E456" s="163"/>
      <c r="F456" s="105">
        <v>4</v>
      </c>
      <c r="G456" s="105"/>
      <c r="H456" s="105"/>
      <c r="I456" s="105"/>
      <c r="J456" s="105"/>
      <c r="K456" s="105"/>
      <c r="L456" s="105">
        <v>1</v>
      </c>
      <c r="M456" s="105"/>
      <c r="N456" s="105"/>
      <c r="O456" s="105"/>
      <c r="P456" s="105"/>
      <c r="Q456" s="105"/>
      <c r="R456" s="105"/>
      <c r="S456" s="105"/>
      <c r="T456" s="106"/>
      <c r="U456" s="130" t="s">
        <v>393</v>
      </c>
      <c r="V456" s="1"/>
      <c r="W456" s="68">
        <f t="shared" si="111"/>
        <v>0</v>
      </c>
      <c r="X456" s="68">
        <f t="shared" si="112"/>
        <v>0</v>
      </c>
      <c r="Y456" s="68">
        <f t="shared" si="113"/>
        <v>0</v>
      </c>
      <c r="Z456" s="68">
        <f t="shared" si="114"/>
        <v>0</v>
      </c>
      <c r="AA456" s="68"/>
      <c r="AB456" s="68">
        <v>0</v>
      </c>
      <c r="AC456" s="69">
        <f t="shared" si="115"/>
        <v>0</v>
      </c>
      <c r="AD456" s="70">
        <v>0</v>
      </c>
      <c r="AE456" s="63">
        <v>40487</v>
      </c>
      <c r="AF456" s="72"/>
      <c r="AG456" s="63" t="s">
        <v>938</v>
      </c>
      <c r="AH456" s="23" t="s">
        <v>939</v>
      </c>
      <c r="AI456" s="60"/>
      <c r="AJ456" s="124" t="s">
        <v>1608</v>
      </c>
      <c r="AK456" s="121" t="s">
        <v>392</v>
      </c>
      <c r="AL456" s="107"/>
      <c r="AM456" s="108"/>
      <c r="AN456" s="109"/>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08"/>
      <c r="CM456" s="108"/>
      <c r="CN456" s="110"/>
      <c r="CO456" s="111"/>
      <c r="CP456" s="110"/>
      <c r="CQ456" s="111"/>
      <c r="CR456" s="110"/>
      <c r="CS456" s="111"/>
      <c r="CT456" s="112">
        <f t="shared" si="116"/>
        <v>0</v>
      </c>
      <c r="CU456" s="113"/>
      <c r="CV456" s="114"/>
      <c r="CW456" s="115"/>
      <c r="CX456" s="116"/>
      <c r="CY456" s="117"/>
      <c r="CZ456" s="116"/>
      <c r="DA456" s="113"/>
      <c r="DB456" s="114"/>
      <c r="DC456" s="64"/>
      <c r="DD456" s="118"/>
    </row>
    <row r="457" spans="1:108" outlineLevel="2">
      <c r="A457" s="178">
        <v>40495</v>
      </c>
      <c r="B457" s="164" t="s">
        <v>1962</v>
      </c>
      <c r="C457" s="164" t="s">
        <v>640</v>
      </c>
      <c r="D457" s="166" t="s">
        <v>1262</v>
      </c>
      <c r="E457" s="163"/>
      <c r="F457" s="105"/>
      <c r="G457" s="105"/>
      <c r="H457" s="105">
        <v>28</v>
      </c>
      <c r="I457" s="105">
        <v>8</v>
      </c>
      <c r="J457" s="105"/>
      <c r="K457" s="105">
        <v>8</v>
      </c>
      <c r="L457" s="105"/>
      <c r="M457" s="105"/>
      <c r="N457" s="105"/>
      <c r="O457" s="105"/>
      <c r="P457" s="105"/>
      <c r="Q457" s="105"/>
      <c r="R457" s="105"/>
      <c r="S457" s="105"/>
      <c r="T457" s="106"/>
      <c r="U457" s="130"/>
      <c r="V457" s="1"/>
      <c r="W457" s="68">
        <f t="shared" si="111"/>
        <v>0</v>
      </c>
      <c r="X457" s="68">
        <f t="shared" si="112"/>
        <v>0</v>
      </c>
      <c r="Y457" s="68">
        <f t="shared" si="113"/>
        <v>0</v>
      </c>
      <c r="Z457" s="68">
        <f t="shared" si="114"/>
        <v>0</v>
      </c>
      <c r="AA457" s="68"/>
      <c r="AB457" s="68">
        <v>0</v>
      </c>
      <c r="AC457" s="69">
        <f t="shared" si="115"/>
        <v>0</v>
      </c>
      <c r="AD457" s="70">
        <v>0</v>
      </c>
      <c r="AE457" s="63">
        <v>40492</v>
      </c>
      <c r="AF457" s="72"/>
      <c r="AG457" s="63" t="s">
        <v>938</v>
      </c>
      <c r="AH457" s="23" t="s">
        <v>939</v>
      </c>
      <c r="AI457" s="60"/>
      <c r="AJ457" s="124" t="s">
        <v>1608</v>
      </c>
      <c r="AK457" s="121" t="s">
        <v>1565</v>
      </c>
      <c r="AL457" s="107"/>
      <c r="AM457" s="108"/>
      <c r="AN457" s="109"/>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08"/>
      <c r="CM457" s="108"/>
      <c r="CN457" s="110"/>
      <c r="CO457" s="111"/>
      <c r="CP457" s="110"/>
      <c r="CQ457" s="111"/>
      <c r="CR457" s="110"/>
      <c r="CS457" s="111"/>
      <c r="CT457" s="112">
        <f t="shared" si="116"/>
        <v>0</v>
      </c>
      <c r="CU457" s="113"/>
      <c r="CV457" s="114"/>
      <c r="CW457" s="115"/>
      <c r="CX457" s="116"/>
      <c r="CY457" s="117"/>
      <c r="CZ457" s="116"/>
      <c r="DA457" s="113"/>
      <c r="DB457" s="114"/>
      <c r="DC457" s="64"/>
      <c r="DD457" s="118"/>
    </row>
    <row r="458" spans="1:108" ht="24" outlineLevel="2">
      <c r="A458" s="178">
        <v>40495</v>
      </c>
      <c r="B458" s="164" t="s">
        <v>1962</v>
      </c>
      <c r="C458" s="164" t="s">
        <v>669</v>
      </c>
      <c r="D458" s="165" t="s">
        <v>1182</v>
      </c>
      <c r="E458" s="163"/>
      <c r="F458" s="105"/>
      <c r="G458" s="105"/>
      <c r="H458" s="105">
        <v>35</v>
      </c>
      <c r="I458" s="105">
        <v>7</v>
      </c>
      <c r="J458" s="105"/>
      <c r="K458" s="105">
        <v>7</v>
      </c>
      <c r="L458" s="105"/>
      <c r="M458" s="105"/>
      <c r="N458" s="105"/>
      <c r="O458" s="105"/>
      <c r="P458" s="105"/>
      <c r="Q458" s="105"/>
      <c r="R458" s="105"/>
      <c r="S458" s="105"/>
      <c r="T458" s="106"/>
      <c r="U458" s="130"/>
      <c r="V458" s="1"/>
      <c r="W458" s="68">
        <f t="shared" si="111"/>
        <v>0</v>
      </c>
      <c r="X458" s="68">
        <f t="shared" si="112"/>
        <v>0</v>
      </c>
      <c r="Y458" s="68">
        <f t="shared" si="113"/>
        <v>0</v>
      </c>
      <c r="Z458" s="68">
        <f t="shared" si="114"/>
        <v>0</v>
      </c>
      <c r="AA458" s="68"/>
      <c r="AB458" s="68">
        <v>0</v>
      </c>
      <c r="AC458" s="69">
        <f t="shared" si="115"/>
        <v>0</v>
      </c>
      <c r="AD458" s="70">
        <v>0</v>
      </c>
      <c r="AE458" s="63">
        <v>40492</v>
      </c>
      <c r="AF458" s="72"/>
      <c r="AG458" s="63" t="s">
        <v>938</v>
      </c>
      <c r="AH458" s="23" t="s">
        <v>939</v>
      </c>
      <c r="AI458" s="60"/>
      <c r="AJ458" s="124" t="s">
        <v>1608</v>
      </c>
      <c r="AK458" s="121" t="s">
        <v>670</v>
      </c>
      <c r="AL458" s="107"/>
      <c r="AM458" s="108"/>
      <c r="AN458" s="109"/>
      <c r="AO458" s="108"/>
      <c r="AP458" s="108"/>
      <c r="AQ458" s="108"/>
      <c r="AR458" s="108"/>
      <c r="AS458" s="108"/>
      <c r="AT458" s="108"/>
      <c r="AU458" s="108"/>
      <c r="AV458" s="108"/>
      <c r="AW458" s="108"/>
      <c r="AX458" s="108"/>
      <c r="AY458" s="108"/>
      <c r="AZ458" s="108"/>
      <c r="BA458" s="108"/>
      <c r="BB458" s="108"/>
      <c r="BC458" s="108"/>
      <c r="BD458" s="108"/>
      <c r="BE458" s="108"/>
      <c r="BF458" s="108"/>
      <c r="BG458" s="108"/>
      <c r="BH458" s="108"/>
      <c r="BI458" s="108"/>
      <c r="BJ458" s="108"/>
      <c r="BK458" s="108"/>
      <c r="BL458" s="108"/>
      <c r="BM458" s="108"/>
      <c r="BN458" s="108"/>
      <c r="BO458" s="108"/>
      <c r="BP458" s="108"/>
      <c r="BQ458" s="108"/>
      <c r="BR458" s="108"/>
      <c r="BS458" s="108"/>
      <c r="BT458" s="108"/>
      <c r="BU458" s="108"/>
      <c r="BV458" s="108"/>
      <c r="BW458" s="108"/>
      <c r="BX458" s="108"/>
      <c r="BY458" s="108"/>
      <c r="BZ458" s="108"/>
      <c r="CA458" s="108"/>
      <c r="CB458" s="108"/>
      <c r="CC458" s="108"/>
      <c r="CD458" s="108"/>
      <c r="CE458" s="108"/>
      <c r="CF458" s="108"/>
      <c r="CG458" s="108"/>
      <c r="CH458" s="108"/>
      <c r="CI458" s="108"/>
      <c r="CJ458" s="108"/>
      <c r="CK458" s="108"/>
      <c r="CL458" s="108"/>
      <c r="CM458" s="108"/>
      <c r="CN458" s="110"/>
      <c r="CO458" s="111"/>
      <c r="CP458" s="110"/>
      <c r="CQ458" s="111"/>
      <c r="CR458" s="110"/>
      <c r="CS458" s="111"/>
      <c r="CT458" s="112">
        <f t="shared" si="116"/>
        <v>0</v>
      </c>
      <c r="CU458" s="113"/>
      <c r="CV458" s="114"/>
      <c r="CW458" s="115"/>
      <c r="CX458" s="116"/>
      <c r="CY458" s="117"/>
      <c r="CZ458" s="116"/>
      <c r="DA458" s="113"/>
      <c r="DB458" s="114"/>
      <c r="DC458" s="64"/>
      <c r="DD458" s="118"/>
    </row>
    <row r="459" spans="1:108" ht="24" outlineLevel="2">
      <c r="A459" s="178">
        <v>40498</v>
      </c>
      <c r="B459" s="164" t="s">
        <v>1962</v>
      </c>
      <c r="C459" s="164" t="s">
        <v>666</v>
      </c>
      <c r="D459" s="165" t="s">
        <v>1182</v>
      </c>
      <c r="E459" s="163">
        <v>2</v>
      </c>
      <c r="F459" s="105">
        <v>3</v>
      </c>
      <c r="G459" s="105"/>
      <c r="H459" s="105">
        <f>82*5</f>
        <v>410</v>
      </c>
      <c r="I459" s="105">
        <v>82</v>
      </c>
      <c r="J459" s="105">
        <v>11</v>
      </c>
      <c r="K459" s="105">
        <v>65</v>
      </c>
      <c r="L459" s="105"/>
      <c r="M459" s="105"/>
      <c r="N459" s="105"/>
      <c r="O459" s="105"/>
      <c r="P459" s="105"/>
      <c r="Q459" s="105"/>
      <c r="R459" s="105"/>
      <c r="S459" s="105"/>
      <c r="T459" s="106"/>
      <c r="U459" s="130"/>
      <c r="V459" s="1"/>
      <c r="W459" s="68">
        <f t="shared" si="111"/>
        <v>0</v>
      </c>
      <c r="X459" s="68">
        <f t="shared" si="112"/>
        <v>0</v>
      </c>
      <c r="Y459" s="68">
        <f t="shared" si="113"/>
        <v>0</v>
      </c>
      <c r="Z459" s="68">
        <f t="shared" si="114"/>
        <v>0</v>
      </c>
      <c r="AA459" s="68"/>
      <c r="AB459" s="68">
        <v>0</v>
      </c>
      <c r="AC459" s="69">
        <f t="shared" si="115"/>
        <v>0</v>
      </c>
      <c r="AD459" s="70">
        <v>0</v>
      </c>
      <c r="AE459" s="63">
        <v>40497</v>
      </c>
      <c r="AF459" s="72"/>
      <c r="AG459" s="63" t="s">
        <v>938</v>
      </c>
      <c r="AH459" s="23" t="s">
        <v>939</v>
      </c>
      <c r="AI459" s="60"/>
      <c r="AJ459" s="124" t="s">
        <v>1608</v>
      </c>
      <c r="AK459" s="121" t="s">
        <v>667</v>
      </c>
      <c r="AL459" s="107"/>
      <c r="AM459" s="108"/>
      <c r="AN459" s="109"/>
      <c r="AO459" s="108"/>
      <c r="AP459" s="108"/>
      <c r="AQ459" s="108"/>
      <c r="AR459" s="108"/>
      <c r="AS459" s="108"/>
      <c r="AT459" s="108"/>
      <c r="AU459" s="108"/>
      <c r="AV459" s="108"/>
      <c r="AW459" s="108"/>
      <c r="AX459" s="108"/>
      <c r="AY459" s="108"/>
      <c r="AZ459" s="108"/>
      <c r="BA459" s="108"/>
      <c r="BB459" s="108"/>
      <c r="BC459" s="108"/>
      <c r="BD459" s="108"/>
      <c r="BE459" s="108"/>
      <c r="BF459" s="108"/>
      <c r="BG459" s="108"/>
      <c r="BH459" s="108"/>
      <c r="BI459" s="108"/>
      <c r="BJ459" s="108"/>
      <c r="BK459" s="108"/>
      <c r="BL459" s="108"/>
      <c r="BM459" s="108"/>
      <c r="BN459" s="108"/>
      <c r="BO459" s="108"/>
      <c r="BP459" s="108"/>
      <c r="BQ459" s="108"/>
      <c r="BR459" s="108"/>
      <c r="BS459" s="108"/>
      <c r="BT459" s="108"/>
      <c r="BU459" s="108"/>
      <c r="BV459" s="108"/>
      <c r="BW459" s="108"/>
      <c r="BX459" s="108"/>
      <c r="BY459" s="108"/>
      <c r="BZ459" s="108"/>
      <c r="CA459" s="108"/>
      <c r="CB459" s="108"/>
      <c r="CC459" s="108"/>
      <c r="CD459" s="108"/>
      <c r="CE459" s="108"/>
      <c r="CF459" s="108"/>
      <c r="CG459" s="108"/>
      <c r="CH459" s="108"/>
      <c r="CI459" s="108"/>
      <c r="CJ459" s="108"/>
      <c r="CK459" s="108"/>
      <c r="CL459" s="108"/>
      <c r="CM459" s="108"/>
      <c r="CN459" s="110"/>
      <c r="CO459" s="111"/>
      <c r="CP459" s="110"/>
      <c r="CQ459" s="111"/>
      <c r="CR459" s="110"/>
      <c r="CS459" s="111"/>
      <c r="CT459" s="112">
        <f t="shared" si="116"/>
        <v>0</v>
      </c>
      <c r="CU459" s="113"/>
      <c r="CV459" s="114"/>
      <c r="CW459" s="115"/>
      <c r="CX459" s="116"/>
      <c r="CY459" s="117"/>
      <c r="CZ459" s="116"/>
      <c r="DA459" s="113"/>
      <c r="DB459" s="114"/>
      <c r="DC459" s="64"/>
      <c r="DD459" s="118"/>
    </row>
    <row r="460" spans="1:108" ht="24" outlineLevel="2">
      <c r="A460" s="178">
        <v>40499</v>
      </c>
      <c r="B460" s="164" t="s">
        <v>1962</v>
      </c>
      <c r="C460" s="164" t="s">
        <v>251</v>
      </c>
      <c r="D460" s="166" t="s">
        <v>1262</v>
      </c>
      <c r="E460" s="163"/>
      <c r="F460" s="105"/>
      <c r="G460" s="105"/>
      <c r="H460" s="105">
        <v>20</v>
      </c>
      <c r="I460" s="105">
        <v>4</v>
      </c>
      <c r="J460" s="105"/>
      <c r="K460" s="105">
        <v>4</v>
      </c>
      <c r="L460" s="105"/>
      <c r="M460" s="105"/>
      <c r="N460" s="105"/>
      <c r="O460" s="105"/>
      <c r="P460" s="105"/>
      <c r="Q460" s="105"/>
      <c r="R460" s="105"/>
      <c r="S460" s="105"/>
      <c r="T460" s="106"/>
      <c r="U460" s="130"/>
      <c r="V460" s="1"/>
      <c r="W460" s="68">
        <f t="shared" si="111"/>
        <v>0</v>
      </c>
      <c r="X460" s="68">
        <f t="shared" si="112"/>
        <v>0</v>
      </c>
      <c r="Y460" s="68">
        <f t="shared" si="113"/>
        <v>0</v>
      </c>
      <c r="Z460" s="68">
        <f t="shared" si="114"/>
        <v>0</v>
      </c>
      <c r="AA460" s="68"/>
      <c r="AB460" s="68">
        <v>0</v>
      </c>
      <c r="AC460" s="69">
        <f t="shared" si="115"/>
        <v>0</v>
      </c>
      <c r="AD460" s="70">
        <v>0</v>
      </c>
      <c r="AE460" s="63">
        <v>40504</v>
      </c>
      <c r="AF460" s="72"/>
      <c r="AG460" s="63" t="s">
        <v>938</v>
      </c>
      <c r="AH460" s="23" t="s">
        <v>939</v>
      </c>
      <c r="AI460" s="60"/>
      <c r="AJ460" s="124" t="s">
        <v>1608</v>
      </c>
      <c r="AK460" s="121" t="s">
        <v>668</v>
      </c>
      <c r="AL460" s="107"/>
      <c r="AM460" s="108"/>
      <c r="AN460" s="109"/>
      <c r="AO460" s="108"/>
      <c r="AP460" s="108"/>
      <c r="AQ460" s="108"/>
      <c r="AR460" s="108"/>
      <c r="AS460" s="108"/>
      <c r="AT460" s="108"/>
      <c r="AU460" s="108"/>
      <c r="AV460" s="108"/>
      <c r="AW460" s="108"/>
      <c r="AX460" s="108"/>
      <c r="AY460" s="108"/>
      <c r="AZ460" s="108"/>
      <c r="BA460" s="108"/>
      <c r="BB460" s="108"/>
      <c r="BC460" s="108"/>
      <c r="BD460" s="108"/>
      <c r="BE460" s="108"/>
      <c r="BF460" s="108"/>
      <c r="BG460" s="108"/>
      <c r="BH460" s="108"/>
      <c r="BI460" s="108"/>
      <c r="BJ460" s="108"/>
      <c r="BK460" s="108"/>
      <c r="BL460" s="108"/>
      <c r="BM460" s="108"/>
      <c r="BN460" s="108"/>
      <c r="BO460" s="108"/>
      <c r="BP460" s="108"/>
      <c r="BQ460" s="108"/>
      <c r="BR460" s="108"/>
      <c r="BS460" s="108"/>
      <c r="BT460" s="108"/>
      <c r="BU460" s="108"/>
      <c r="BV460" s="108"/>
      <c r="BW460" s="108"/>
      <c r="BX460" s="108"/>
      <c r="BY460" s="108"/>
      <c r="BZ460" s="108"/>
      <c r="CA460" s="108"/>
      <c r="CB460" s="108"/>
      <c r="CC460" s="108"/>
      <c r="CD460" s="108"/>
      <c r="CE460" s="108"/>
      <c r="CF460" s="108"/>
      <c r="CG460" s="108"/>
      <c r="CH460" s="108"/>
      <c r="CI460" s="108"/>
      <c r="CJ460" s="108"/>
      <c r="CK460" s="108"/>
      <c r="CL460" s="108"/>
      <c r="CM460" s="108"/>
      <c r="CN460" s="110"/>
      <c r="CO460" s="111"/>
      <c r="CP460" s="110"/>
      <c r="CQ460" s="111"/>
      <c r="CR460" s="110"/>
      <c r="CS460" s="111"/>
      <c r="CT460" s="112">
        <f t="shared" si="116"/>
        <v>0</v>
      </c>
      <c r="CU460" s="113"/>
      <c r="CV460" s="114"/>
      <c r="CW460" s="115"/>
      <c r="CX460" s="116"/>
      <c r="CY460" s="117"/>
      <c r="CZ460" s="116"/>
      <c r="DA460" s="113"/>
      <c r="DB460" s="114"/>
      <c r="DC460" s="64"/>
      <c r="DD460" s="118"/>
    </row>
    <row r="461" spans="1:108" ht="24" outlineLevel="2">
      <c r="A461" s="178">
        <v>40499</v>
      </c>
      <c r="B461" s="164" t="s">
        <v>1962</v>
      </c>
      <c r="C461" s="164" t="s">
        <v>2302</v>
      </c>
      <c r="D461" s="165" t="s">
        <v>1182</v>
      </c>
      <c r="E461" s="163"/>
      <c r="F461" s="105"/>
      <c r="G461" s="105"/>
      <c r="H461" s="105">
        <v>90</v>
      </c>
      <c r="I461" s="105">
        <v>18</v>
      </c>
      <c r="J461" s="105"/>
      <c r="K461" s="105">
        <v>18</v>
      </c>
      <c r="L461" s="105"/>
      <c r="M461" s="105"/>
      <c r="N461" s="105"/>
      <c r="O461" s="105"/>
      <c r="P461" s="105"/>
      <c r="Q461" s="105"/>
      <c r="R461" s="105"/>
      <c r="S461" s="105"/>
      <c r="T461" s="106"/>
      <c r="U461" s="130"/>
      <c r="V461" s="1"/>
      <c r="W461" s="68">
        <f t="shared" si="111"/>
        <v>0</v>
      </c>
      <c r="X461" s="68">
        <f t="shared" si="112"/>
        <v>0</v>
      </c>
      <c r="Y461" s="68">
        <f t="shared" si="113"/>
        <v>0</v>
      </c>
      <c r="Z461" s="68">
        <f t="shared" si="114"/>
        <v>0</v>
      </c>
      <c r="AA461" s="68"/>
      <c r="AB461" s="68">
        <v>0</v>
      </c>
      <c r="AC461" s="69">
        <f t="shared" si="115"/>
        <v>0</v>
      </c>
      <c r="AD461" s="70">
        <v>0</v>
      </c>
      <c r="AE461" s="63">
        <v>40504</v>
      </c>
      <c r="AF461" s="72"/>
      <c r="AG461" s="63" t="s">
        <v>938</v>
      </c>
      <c r="AH461" s="23" t="s">
        <v>939</v>
      </c>
      <c r="AI461" s="60"/>
      <c r="AJ461" s="124" t="s">
        <v>1608</v>
      </c>
      <c r="AK461" s="121" t="s">
        <v>665</v>
      </c>
      <c r="AL461" s="107"/>
      <c r="AM461" s="108"/>
      <c r="AN461" s="109"/>
      <c r="AO461" s="108"/>
      <c r="AP461" s="108"/>
      <c r="AQ461" s="108"/>
      <c r="AR461" s="108"/>
      <c r="AS461" s="108"/>
      <c r="AT461" s="108"/>
      <c r="AU461" s="108"/>
      <c r="AV461" s="108"/>
      <c r="AW461" s="108"/>
      <c r="AX461" s="108"/>
      <c r="AY461" s="108"/>
      <c r="AZ461" s="108"/>
      <c r="BA461" s="108"/>
      <c r="BB461" s="108"/>
      <c r="BC461" s="108"/>
      <c r="BD461" s="108"/>
      <c r="BE461" s="108"/>
      <c r="BF461" s="108"/>
      <c r="BG461" s="108"/>
      <c r="BH461" s="108"/>
      <c r="BI461" s="108"/>
      <c r="BJ461" s="108"/>
      <c r="BK461" s="108"/>
      <c r="BL461" s="108"/>
      <c r="BM461" s="108"/>
      <c r="BN461" s="108"/>
      <c r="BO461" s="108"/>
      <c r="BP461" s="108"/>
      <c r="BQ461" s="108"/>
      <c r="BR461" s="108"/>
      <c r="BS461" s="108"/>
      <c r="BT461" s="108"/>
      <c r="BU461" s="108"/>
      <c r="BV461" s="108"/>
      <c r="BW461" s="108"/>
      <c r="BX461" s="108"/>
      <c r="BY461" s="108"/>
      <c r="BZ461" s="108"/>
      <c r="CA461" s="108"/>
      <c r="CB461" s="108"/>
      <c r="CC461" s="108"/>
      <c r="CD461" s="108"/>
      <c r="CE461" s="108"/>
      <c r="CF461" s="108"/>
      <c r="CG461" s="108"/>
      <c r="CH461" s="108"/>
      <c r="CI461" s="108"/>
      <c r="CJ461" s="108"/>
      <c r="CK461" s="108"/>
      <c r="CL461" s="108"/>
      <c r="CM461" s="108"/>
      <c r="CN461" s="110"/>
      <c r="CO461" s="111"/>
      <c r="CP461" s="110"/>
      <c r="CQ461" s="111"/>
      <c r="CR461" s="110"/>
      <c r="CS461" s="111"/>
      <c r="CT461" s="112">
        <f t="shared" si="116"/>
        <v>0</v>
      </c>
      <c r="CU461" s="113"/>
      <c r="CV461" s="114"/>
      <c r="CW461" s="115"/>
      <c r="CX461" s="116"/>
      <c r="CY461" s="117"/>
      <c r="CZ461" s="116"/>
      <c r="DA461" s="113"/>
      <c r="DB461" s="114"/>
      <c r="DC461" s="64"/>
      <c r="DD461" s="118"/>
    </row>
    <row r="462" spans="1:108" ht="24" outlineLevel="2">
      <c r="A462" s="178">
        <v>40502</v>
      </c>
      <c r="B462" s="164" t="s">
        <v>1962</v>
      </c>
      <c r="C462" s="164" t="s">
        <v>671</v>
      </c>
      <c r="D462" s="165" t="s">
        <v>1182</v>
      </c>
      <c r="E462" s="163">
        <v>2</v>
      </c>
      <c r="F462" s="105"/>
      <c r="G462" s="105"/>
      <c r="H462" s="105">
        <f>23*5</f>
        <v>115</v>
      </c>
      <c r="I462" s="105">
        <v>23</v>
      </c>
      <c r="J462" s="105">
        <v>1</v>
      </c>
      <c r="K462" s="105">
        <v>22</v>
      </c>
      <c r="L462" s="105"/>
      <c r="M462" s="105"/>
      <c r="N462" s="105"/>
      <c r="O462" s="105"/>
      <c r="P462" s="105"/>
      <c r="Q462" s="105"/>
      <c r="R462" s="105"/>
      <c r="S462" s="105"/>
      <c r="T462" s="106"/>
      <c r="U462" s="130"/>
      <c r="V462" s="1"/>
      <c r="W462" s="68">
        <f t="shared" si="111"/>
        <v>0</v>
      </c>
      <c r="X462" s="68">
        <f t="shared" si="112"/>
        <v>0</v>
      </c>
      <c r="Y462" s="68">
        <f t="shared" si="113"/>
        <v>0</v>
      </c>
      <c r="Z462" s="68">
        <f t="shared" si="114"/>
        <v>0</v>
      </c>
      <c r="AA462" s="68"/>
      <c r="AB462" s="68">
        <v>0</v>
      </c>
      <c r="AC462" s="69">
        <f t="shared" si="115"/>
        <v>0</v>
      </c>
      <c r="AD462" s="70">
        <v>0</v>
      </c>
      <c r="AE462" s="63">
        <v>40504</v>
      </c>
      <c r="AF462" s="72"/>
      <c r="AG462" s="63" t="s">
        <v>938</v>
      </c>
      <c r="AH462" s="23" t="s">
        <v>939</v>
      </c>
      <c r="AI462" s="60"/>
      <c r="AJ462" s="124" t="s">
        <v>1608</v>
      </c>
      <c r="AK462" s="121" t="s">
        <v>672</v>
      </c>
      <c r="AL462" s="107"/>
      <c r="AM462" s="108"/>
      <c r="AN462" s="109"/>
      <c r="AO462" s="108"/>
      <c r="AP462" s="108"/>
      <c r="AQ462" s="108"/>
      <c r="AR462" s="108"/>
      <c r="AS462" s="108"/>
      <c r="AT462" s="108"/>
      <c r="AU462" s="108"/>
      <c r="AV462" s="108"/>
      <c r="AW462" s="108"/>
      <c r="AX462" s="108"/>
      <c r="AY462" s="108"/>
      <c r="AZ462" s="108"/>
      <c r="BA462" s="108"/>
      <c r="BB462" s="108"/>
      <c r="BC462" s="108"/>
      <c r="BD462" s="108"/>
      <c r="BE462" s="108"/>
      <c r="BF462" s="108"/>
      <c r="BG462" s="108"/>
      <c r="BH462" s="108"/>
      <c r="BI462" s="108"/>
      <c r="BJ462" s="108"/>
      <c r="BK462" s="108"/>
      <c r="BL462" s="108"/>
      <c r="BM462" s="108"/>
      <c r="BN462" s="108"/>
      <c r="BO462" s="108"/>
      <c r="BP462" s="108"/>
      <c r="BQ462" s="108"/>
      <c r="BR462" s="108"/>
      <c r="BS462" s="108"/>
      <c r="BT462" s="108"/>
      <c r="BU462" s="108"/>
      <c r="BV462" s="108"/>
      <c r="BW462" s="108"/>
      <c r="BX462" s="108"/>
      <c r="BY462" s="108"/>
      <c r="BZ462" s="108"/>
      <c r="CA462" s="108"/>
      <c r="CB462" s="108"/>
      <c r="CC462" s="108"/>
      <c r="CD462" s="108"/>
      <c r="CE462" s="108"/>
      <c r="CF462" s="108"/>
      <c r="CG462" s="108"/>
      <c r="CH462" s="108"/>
      <c r="CI462" s="108"/>
      <c r="CJ462" s="108"/>
      <c r="CK462" s="108"/>
      <c r="CL462" s="108"/>
      <c r="CM462" s="108"/>
      <c r="CN462" s="110"/>
      <c r="CO462" s="111"/>
      <c r="CP462" s="110"/>
      <c r="CQ462" s="111"/>
      <c r="CR462" s="110"/>
      <c r="CS462" s="111"/>
      <c r="CT462" s="112">
        <f t="shared" si="116"/>
        <v>0</v>
      </c>
      <c r="CU462" s="113"/>
      <c r="CV462" s="114"/>
      <c r="CW462" s="115"/>
      <c r="CX462" s="116"/>
      <c r="CY462" s="117"/>
      <c r="CZ462" s="116"/>
      <c r="DA462" s="113"/>
      <c r="DB462" s="114"/>
      <c r="DC462" s="64"/>
      <c r="DD462" s="118"/>
    </row>
    <row r="463" spans="1:108" ht="36" outlineLevel="2">
      <c r="A463" s="178">
        <v>40504</v>
      </c>
      <c r="B463" s="164" t="s">
        <v>1962</v>
      </c>
      <c r="C463" s="164" t="s">
        <v>689</v>
      </c>
      <c r="D463" s="165" t="s">
        <v>1182</v>
      </c>
      <c r="E463" s="163">
        <v>5</v>
      </c>
      <c r="F463" s="105"/>
      <c r="G463" s="105">
        <v>3</v>
      </c>
      <c r="H463" s="105">
        <v>10</v>
      </c>
      <c r="I463" s="105">
        <v>2</v>
      </c>
      <c r="J463" s="105">
        <v>2</v>
      </c>
      <c r="K463" s="105"/>
      <c r="L463" s="105"/>
      <c r="M463" s="105"/>
      <c r="N463" s="105"/>
      <c r="O463" s="105"/>
      <c r="P463" s="105"/>
      <c r="Q463" s="105"/>
      <c r="R463" s="105"/>
      <c r="S463" s="105"/>
      <c r="T463" s="106"/>
      <c r="U463" s="130"/>
      <c r="V463" s="1"/>
      <c r="W463" s="68">
        <f t="shared" si="111"/>
        <v>0</v>
      </c>
      <c r="X463" s="68">
        <f t="shared" si="112"/>
        <v>0</v>
      </c>
      <c r="Y463" s="68">
        <f t="shared" si="113"/>
        <v>0</v>
      </c>
      <c r="Z463" s="68">
        <f t="shared" si="114"/>
        <v>0</v>
      </c>
      <c r="AA463" s="68"/>
      <c r="AB463" s="68">
        <v>0</v>
      </c>
      <c r="AC463" s="69">
        <f t="shared" si="115"/>
        <v>0</v>
      </c>
      <c r="AD463" s="70">
        <v>0</v>
      </c>
      <c r="AE463" s="63">
        <v>40504</v>
      </c>
      <c r="AF463" s="72"/>
      <c r="AG463" s="63" t="s">
        <v>938</v>
      </c>
      <c r="AH463" s="23" t="s">
        <v>939</v>
      </c>
      <c r="AI463" s="60"/>
      <c r="AJ463" s="124"/>
      <c r="AK463" s="121" t="s">
        <v>690</v>
      </c>
      <c r="AL463" s="107"/>
      <c r="AM463" s="108"/>
      <c r="AN463" s="109"/>
      <c r="AO463" s="108"/>
      <c r="AP463" s="108"/>
      <c r="AQ463" s="108"/>
      <c r="AR463" s="108"/>
      <c r="AS463" s="108"/>
      <c r="AT463" s="108"/>
      <c r="AU463" s="108"/>
      <c r="AV463" s="108"/>
      <c r="AW463" s="108"/>
      <c r="AX463" s="108"/>
      <c r="AY463" s="108"/>
      <c r="AZ463" s="108"/>
      <c r="BA463" s="108"/>
      <c r="BB463" s="108"/>
      <c r="BC463" s="108"/>
      <c r="BD463" s="108"/>
      <c r="BE463" s="108"/>
      <c r="BF463" s="108"/>
      <c r="BG463" s="108"/>
      <c r="BH463" s="108"/>
      <c r="BI463" s="108"/>
      <c r="BJ463" s="108"/>
      <c r="BK463" s="108"/>
      <c r="BL463" s="108"/>
      <c r="BM463" s="108"/>
      <c r="BN463" s="108"/>
      <c r="BO463" s="108"/>
      <c r="BP463" s="108"/>
      <c r="BQ463" s="108"/>
      <c r="BR463" s="108"/>
      <c r="BS463" s="108"/>
      <c r="BT463" s="108"/>
      <c r="BU463" s="108"/>
      <c r="BV463" s="108"/>
      <c r="BW463" s="108"/>
      <c r="BX463" s="108"/>
      <c r="BY463" s="108"/>
      <c r="BZ463" s="108"/>
      <c r="CA463" s="108"/>
      <c r="CB463" s="108"/>
      <c r="CC463" s="108"/>
      <c r="CD463" s="108"/>
      <c r="CE463" s="108"/>
      <c r="CF463" s="108"/>
      <c r="CG463" s="108"/>
      <c r="CH463" s="108"/>
      <c r="CI463" s="108"/>
      <c r="CJ463" s="108"/>
      <c r="CK463" s="108"/>
      <c r="CL463" s="108"/>
      <c r="CM463" s="108"/>
      <c r="CN463" s="110"/>
      <c r="CO463" s="111"/>
      <c r="CP463" s="110"/>
      <c r="CQ463" s="111"/>
      <c r="CR463" s="110"/>
      <c r="CS463" s="111"/>
      <c r="CT463" s="112">
        <f t="shared" si="116"/>
        <v>0</v>
      </c>
      <c r="CU463" s="113"/>
      <c r="CV463" s="114"/>
      <c r="CW463" s="115"/>
      <c r="CX463" s="116"/>
      <c r="CY463" s="117"/>
      <c r="CZ463" s="116"/>
      <c r="DA463" s="113"/>
      <c r="DB463" s="114"/>
      <c r="DC463" s="64"/>
      <c r="DD463" s="118"/>
    </row>
    <row r="464" spans="1:108" ht="36" outlineLevel="2">
      <c r="A464" s="178">
        <v>40504</v>
      </c>
      <c r="B464" s="164" t="s">
        <v>1962</v>
      </c>
      <c r="C464" s="164" t="s">
        <v>616</v>
      </c>
      <c r="D464" s="166" t="s">
        <v>1262</v>
      </c>
      <c r="E464" s="163">
        <v>2</v>
      </c>
      <c r="F464" s="105">
        <v>2</v>
      </c>
      <c r="G464" s="105"/>
      <c r="H464" s="105">
        <f>77*5</f>
        <v>385</v>
      </c>
      <c r="I464" s="105">
        <v>77</v>
      </c>
      <c r="J464" s="105">
        <v>2</v>
      </c>
      <c r="K464" s="105">
        <v>75</v>
      </c>
      <c r="L464" s="105"/>
      <c r="M464" s="105"/>
      <c r="N464" s="105"/>
      <c r="O464" s="105"/>
      <c r="P464" s="105"/>
      <c r="Q464" s="105"/>
      <c r="R464" s="105"/>
      <c r="S464" s="105"/>
      <c r="T464" s="106"/>
      <c r="U464" s="130"/>
      <c r="V464" s="1"/>
      <c r="W464" s="68">
        <f t="shared" si="111"/>
        <v>0</v>
      </c>
      <c r="X464" s="68">
        <f t="shared" si="112"/>
        <v>0</v>
      </c>
      <c r="Y464" s="68">
        <f t="shared" si="113"/>
        <v>0</v>
      </c>
      <c r="Z464" s="68">
        <f t="shared" si="114"/>
        <v>0</v>
      </c>
      <c r="AA464" s="68"/>
      <c r="AB464" s="68">
        <v>0</v>
      </c>
      <c r="AC464" s="69">
        <f t="shared" si="115"/>
        <v>0</v>
      </c>
      <c r="AD464" s="70">
        <v>0</v>
      </c>
      <c r="AE464" s="63">
        <v>40505</v>
      </c>
      <c r="AF464" s="72"/>
      <c r="AG464" s="63" t="s">
        <v>938</v>
      </c>
      <c r="AH464" s="23" t="s">
        <v>939</v>
      </c>
      <c r="AI464" s="60"/>
      <c r="AJ464" s="124" t="s">
        <v>1608</v>
      </c>
      <c r="AK464" s="121" t="s">
        <v>721</v>
      </c>
      <c r="AL464" s="107"/>
      <c r="AM464" s="108"/>
      <c r="AN464" s="109"/>
      <c r="AO464" s="108"/>
      <c r="AP464" s="108"/>
      <c r="AQ464" s="108"/>
      <c r="AR464" s="108"/>
      <c r="AS464" s="108"/>
      <c r="AT464" s="108"/>
      <c r="AU464" s="108"/>
      <c r="AV464" s="108"/>
      <c r="AW464" s="108"/>
      <c r="AX464" s="108"/>
      <c r="AY464" s="108"/>
      <c r="AZ464" s="108"/>
      <c r="BA464" s="108"/>
      <c r="BB464" s="108"/>
      <c r="BC464" s="108"/>
      <c r="BD464" s="108"/>
      <c r="BE464" s="108"/>
      <c r="BF464" s="108"/>
      <c r="BG464" s="108"/>
      <c r="BH464" s="108"/>
      <c r="BI464" s="108"/>
      <c r="BJ464" s="108"/>
      <c r="BK464" s="108"/>
      <c r="BL464" s="108"/>
      <c r="BM464" s="108"/>
      <c r="BN464" s="108"/>
      <c r="BO464" s="108"/>
      <c r="BP464" s="108"/>
      <c r="BQ464" s="108"/>
      <c r="BR464" s="108"/>
      <c r="BS464" s="108"/>
      <c r="BT464" s="108"/>
      <c r="BU464" s="108"/>
      <c r="BV464" s="108"/>
      <c r="BW464" s="108"/>
      <c r="BX464" s="108"/>
      <c r="BY464" s="108"/>
      <c r="BZ464" s="108"/>
      <c r="CA464" s="108"/>
      <c r="CB464" s="108"/>
      <c r="CC464" s="108"/>
      <c r="CD464" s="108"/>
      <c r="CE464" s="108"/>
      <c r="CF464" s="108"/>
      <c r="CG464" s="108"/>
      <c r="CH464" s="108"/>
      <c r="CI464" s="108"/>
      <c r="CJ464" s="108"/>
      <c r="CK464" s="108"/>
      <c r="CL464" s="108"/>
      <c r="CM464" s="108"/>
      <c r="CN464" s="110"/>
      <c r="CO464" s="111"/>
      <c r="CP464" s="110"/>
      <c r="CQ464" s="111"/>
      <c r="CR464" s="110"/>
      <c r="CS464" s="111"/>
      <c r="CT464" s="112">
        <f t="shared" si="116"/>
        <v>0</v>
      </c>
      <c r="CU464" s="113"/>
      <c r="CV464" s="114"/>
      <c r="CW464" s="115"/>
      <c r="CX464" s="116"/>
      <c r="CY464" s="117"/>
      <c r="CZ464" s="116"/>
      <c r="DA464" s="113"/>
      <c r="DB464" s="114"/>
      <c r="DC464" s="64"/>
      <c r="DD464" s="118"/>
    </row>
    <row r="465" spans="1:108" ht="24" outlineLevel="2">
      <c r="A465" s="178">
        <v>40506</v>
      </c>
      <c r="B465" s="164" t="s">
        <v>1962</v>
      </c>
      <c r="C465" s="164" t="s">
        <v>298</v>
      </c>
      <c r="D465" s="165" t="s">
        <v>1182</v>
      </c>
      <c r="E465" s="163">
        <v>2</v>
      </c>
      <c r="F465" s="105"/>
      <c r="G465" s="105"/>
      <c r="H465" s="105">
        <v>30</v>
      </c>
      <c r="I465" s="105">
        <v>6</v>
      </c>
      <c r="J465" s="105"/>
      <c r="K465" s="105">
        <v>6</v>
      </c>
      <c r="L465" s="105"/>
      <c r="M465" s="105"/>
      <c r="N465" s="105"/>
      <c r="O465" s="105"/>
      <c r="P465" s="105"/>
      <c r="Q465" s="105"/>
      <c r="R465" s="105"/>
      <c r="S465" s="105"/>
      <c r="T465" s="106"/>
      <c r="U465" s="130"/>
      <c r="V465" s="1"/>
      <c r="W465" s="68">
        <f t="shared" si="111"/>
        <v>0</v>
      </c>
      <c r="X465" s="68">
        <f t="shared" si="112"/>
        <v>0</v>
      </c>
      <c r="Y465" s="68">
        <f t="shared" si="113"/>
        <v>0</v>
      </c>
      <c r="Z465" s="68">
        <f t="shared" si="114"/>
        <v>0</v>
      </c>
      <c r="AA465" s="68"/>
      <c r="AB465" s="68">
        <v>0</v>
      </c>
      <c r="AC465" s="69">
        <f t="shared" si="115"/>
        <v>0</v>
      </c>
      <c r="AD465" s="70">
        <v>0</v>
      </c>
      <c r="AE465" s="63">
        <v>40506</v>
      </c>
      <c r="AF465" s="72"/>
      <c r="AG465" s="63" t="s">
        <v>938</v>
      </c>
      <c r="AH465" s="23" t="s">
        <v>939</v>
      </c>
      <c r="AI465" s="60"/>
      <c r="AJ465" s="124" t="s">
        <v>1608</v>
      </c>
      <c r="AK465" s="121" t="s">
        <v>299</v>
      </c>
      <c r="AL465" s="107"/>
      <c r="AM465" s="108"/>
      <c r="AN465" s="109"/>
      <c r="AO465" s="108"/>
      <c r="AP465" s="108"/>
      <c r="AQ465" s="108"/>
      <c r="AR465" s="108"/>
      <c r="AS465" s="108"/>
      <c r="AT465" s="108"/>
      <c r="AU465" s="108"/>
      <c r="AV465" s="108"/>
      <c r="AW465" s="108"/>
      <c r="AX465" s="108"/>
      <c r="AY465" s="108"/>
      <c r="AZ465" s="108"/>
      <c r="BA465" s="108"/>
      <c r="BB465" s="108"/>
      <c r="BC465" s="108"/>
      <c r="BD465" s="108"/>
      <c r="BE465" s="108"/>
      <c r="BF465" s="108"/>
      <c r="BG465" s="108"/>
      <c r="BH465" s="108"/>
      <c r="BI465" s="108"/>
      <c r="BJ465" s="108"/>
      <c r="BK465" s="108"/>
      <c r="BL465" s="108"/>
      <c r="BM465" s="108"/>
      <c r="BN465" s="108"/>
      <c r="BO465" s="108"/>
      <c r="BP465" s="108"/>
      <c r="BQ465" s="108"/>
      <c r="BR465" s="108"/>
      <c r="BS465" s="108"/>
      <c r="BT465" s="108"/>
      <c r="BU465" s="108"/>
      <c r="BV465" s="108"/>
      <c r="BW465" s="108"/>
      <c r="BX465" s="108"/>
      <c r="BY465" s="108"/>
      <c r="BZ465" s="108"/>
      <c r="CA465" s="108"/>
      <c r="CB465" s="108"/>
      <c r="CC465" s="108"/>
      <c r="CD465" s="108"/>
      <c r="CE465" s="108"/>
      <c r="CF465" s="108"/>
      <c r="CG465" s="108"/>
      <c r="CH465" s="108"/>
      <c r="CI465" s="108"/>
      <c r="CJ465" s="108"/>
      <c r="CK465" s="108"/>
      <c r="CL465" s="108"/>
      <c r="CM465" s="108"/>
      <c r="CN465" s="110"/>
      <c r="CO465" s="111"/>
      <c r="CP465" s="110"/>
      <c r="CQ465" s="111"/>
      <c r="CR465" s="110"/>
      <c r="CS465" s="111"/>
      <c r="CT465" s="112">
        <f t="shared" si="116"/>
        <v>0</v>
      </c>
      <c r="CU465" s="113"/>
      <c r="CV465" s="114"/>
      <c r="CW465" s="115"/>
      <c r="CX465" s="116"/>
      <c r="CY465" s="117"/>
      <c r="CZ465" s="116"/>
      <c r="DA465" s="113"/>
      <c r="DB465" s="114"/>
      <c r="DC465" s="64"/>
      <c r="DD465" s="118"/>
    </row>
    <row r="466" spans="1:108" outlineLevel="2">
      <c r="A466" s="178">
        <v>40511</v>
      </c>
      <c r="B466" s="164" t="s">
        <v>1962</v>
      </c>
      <c r="C466" s="164" t="s">
        <v>2302</v>
      </c>
      <c r="D466" s="166" t="s">
        <v>1182</v>
      </c>
      <c r="E466" s="163"/>
      <c r="F466" s="105">
        <v>1</v>
      </c>
      <c r="G466" s="105"/>
      <c r="H466" s="105"/>
      <c r="I466" s="105"/>
      <c r="J466" s="105"/>
      <c r="K466" s="105"/>
      <c r="L466" s="105"/>
      <c r="M466" s="105"/>
      <c r="N466" s="105"/>
      <c r="O466" s="105"/>
      <c r="P466" s="105"/>
      <c r="Q466" s="105"/>
      <c r="R466" s="105"/>
      <c r="S466" s="105"/>
      <c r="T466" s="106"/>
      <c r="U466" s="130" t="s">
        <v>2128</v>
      </c>
      <c r="V466" s="1"/>
      <c r="W466" s="68">
        <f t="shared" si="111"/>
        <v>0</v>
      </c>
      <c r="X466" s="68">
        <f t="shared" si="112"/>
        <v>0</v>
      </c>
      <c r="Y466" s="68">
        <f t="shared" si="113"/>
        <v>0</v>
      </c>
      <c r="Z466" s="68">
        <f t="shared" si="114"/>
        <v>0</v>
      </c>
      <c r="AA466" s="68"/>
      <c r="AB466" s="68">
        <v>0</v>
      </c>
      <c r="AC466" s="69">
        <f t="shared" si="115"/>
        <v>0</v>
      </c>
      <c r="AD466" s="70">
        <v>0</v>
      </c>
      <c r="AE466" s="63"/>
      <c r="AF466" s="72"/>
      <c r="AG466" s="63"/>
      <c r="AH466" s="23"/>
      <c r="AI466" s="60"/>
      <c r="AJ466" s="124"/>
      <c r="AK466" s="121" t="s">
        <v>2127</v>
      </c>
      <c r="AL466" s="107"/>
      <c r="AM466" s="108"/>
      <c r="AN466" s="109"/>
      <c r="AO466" s="108"/>
      <c r="AP466" s="108"/>
      <c r="AQ466" s="108"/>
      <c r="AR466" s="108"/>
      <c r="AS466" s="108"/>
      <c r="AT466" s="108"/>
      <c r="AU466" s="108"/>
      <c r="AV466" s="108"/>
      <c r="AW466" s="108"/>
      <c r="AX466" s="108"/>
      <c r="AY466" s="108"/>
      <c r="AZ466" s="108"/>
      <c r="BA466" s="108"/>
      <c r="BB466" s="108"/>
      <c r="BC466" s="108"/>
      <c r="BD466" s="108"/>
      <c r="BE466" s="108"/>
      <c r="BF466" s="108"/>
      <c r="BG466" s="108"/>
      <c r="BH466" s="108"/>
      <c r="BI466" s="108"/>
      <c r="BJ466" s="108"/>
      <c r="BK466" s="108"/>
      <c r="BL466" s="108"/>
      <c r="BM466" s="108"/>
      <c r="BN466" s="108"/>
      <c r="BO466" s="108"/>
      <c r="BP466" s="108"/>
      <c r="BQ466" s="108"/>
      <c r="BR466" s="108"/>
      <c r="BS466" s="108"/>
      <c r="BT466" s="108"/>
      <c r="BU466" s="108"/>
      <c r="BV466" s="108"/>
      <c r="BW466" s="108"/>
      <c r="BX466" s="108"/>
      <c r="BY466" s="108"/>
      <c r="BZ466" s="108"/>
      <c r="CA466" s="108"/>
      <c r="CB466" s="108"/>
      <c r="CC466" s="108"/>
      <c r="CD466" s="108"/>
      <c r="CE466" s="108"/>
      <c r="CF466" s="108"/>
      <c r="CG466" s="108"/>
      <c r="CH466" s="108"/>
      <c r="CI466" s="108"/>
      <c r="CJ466" s="108"/>
      <c r="CK466" s="108"/>
      <c r="CL466" s="108"/>
      <c r="CM466" s="108"/>
      <c r="CN466" s="110"/>
      <c r="CO466" s="111"/>
      <c r="CP466" s="110"/>
      <c r="CQ466" s="111"/>
      <c r="CR466" s="110"/>
      <c r="CS466" s="111"/>
      <c r="CT466" s="112">
        <f t="shared" si="116"/>
        <v>0</v>
      </c>
      <c r="CU466" s="113"/>
      <c r="CV466" s="114"/>
      <c r="CW466" s="115"/>
      <c r="CX466" s="116"/>
      <c r="CY466" s="117"/>
      <c r="CZ466" s="116"/>
      <c r="DA466" s="113"/>
      <c r="DB466" s="114"/>
      <c r="DC466" s="64"/>
      <c r="DD466" s="118"/>
    </row>
    <row r="467" spans="1:108" outlineLevel="2">
      <c r="A467" s="178">
        <v>40521</v>
      </c>
      <c r="B467" s="164" t="s">
        <v>1962</v>
      </c>
      <c r="C467" s="164" t="s">
        <v>111</v>
      </c>
      <c r="D467" s="166" t="s">
        <v>1182</v>
      </c>
      <c r="E467" s="163">
        <v>1</v>
      </c>
      <c r="F467" s="105">
        <v>13</v>
      </c>
      <c r="G467" s="105">
        <v>2</v>
      </c>
      <c r="H467" s="105">
        <f>81*5</f>
        <v>405</v>
      </c>
      <c r="I467" s="105">
        <v>81</v>
      </c>
      <c r="J467" s="105">
        <v>1</v>
      </c>
      <c r="K467" s="105">
        <v>80</v>
      </c>
      <c r="L467" s="105"/>
      <c r="M467" s="105"/>
      <c r="N467" s="105"/>
      <c r="O467" s="105"/>
      <c r="P467" s="105"/>
      <c r="Q467" s="105"/>
      <c r="R467" s="105"/>
      <c r="S467" s="105"/>
      <c r="T467" s="106"/>
      <c r="U467" s="130"/>
      <c r="V467" s="1"/>
      <c r="W467" s="68">
        <f t="shared" si="111"/>
        <v>0</v>
      </c>
      <c r="X467" s="68">
        <f t="shared" si="112"/>
        <v>0</v>
      </c>
      <c r="Y467" s="68">
        <f t="shared" si="113"/>
        <v>0</v>
      </c>
      <c r="Z467" s="68">
        <f t="shared" si="114"/>
        <v>0</v>
      </c>
      <c r="AA467" s="68"/>
      <c r="AB467" s="68">
        <v>0</v>
      </c>
      <c r="AC467" s="69">
        <f t="shared" si="115"/>
        <v>0</v>
      </c>
      <c r="AD467" s="70">
        <v>0</v>
      </c>
      <c r="AE467" s="63"/>
      <c r="AF467" s="72"/>
      <c r="AG467" s="63"/>
      <c r="AH467" s="23"/>
      <c r="AI467" s="60"/>
      <c r="AJ467" s="124"/>
      <c r="AK467" s="121" t="s">
        <v>112</v>
      </c>
      <c r="AL467" s="107"/>
      <c r="AM467" s="108"/>
      <c r="AN467" s="109"/>
      <c r="AO467" s="108"/>
      <c r="AP467" s="108"/>
      <c r="AQ467" s="108"/>
      <c r="AR467" s="108"/>
      <c r="AS467" s="108"/>
      <c r="AT467" s="108"/>
      <c r="AU467" s="108"/>
      <c r="AV467" s="108"/>
      <c r="AW467" s="108"/>
      <c r="AX467" s="108"/>
      <c r="AY467" s="108"/>
      <c r="AZ467" s="108"/>
      <c r="BA467" s="108"/>
      <c r="BB467" s="108"/>
      <c r="BC467" s="108"/>
      <c r="BD467" s="108"/>
      <c r="BE467" s="108"/>
      <c r="BF467" s="108"/>
      <c r="BG467" s="108"/>
      <c r="BH467" s="108"/>
      <c r="BI467" s="108"/>
      <c r="BJ467" s="108"/>
      <c r="BK467" s="108"/>
      <c r="BL467" s="108"/>
      <c r="BM467" s="108"/>
      <c r="BN467" s="108"/>
      <c r="BO467" s="108"/>
      <c r="BP467" s="108"/>
      <c r="BQ467" s="108"/>
      <c r="BR467" s="108"/>
      <c r="BS467" s="108"/>
      <c r="BT467" s="108"/>
      <c r="BU467" s="108"/>
      <c r="BV467" s="108"/>
      <c r="BW467" s="108"/>
      <c r="BX467" s="108"/>
      <c r="BY467" s="108"/>
      <c r="BZ467" s="108"/>
      <c r="CA467" s="108"/>
      <c r="CB467" s="108"/>
      <c r="CC467" s="108"/>
      <c r="CD467" s="108"/>
      <c r="CE467" s="108"/>
      <c r="CF467" s="108"/>
      <c r="CG467" s="108"/>
      <c r="CH467" s="108"/>
      <c r="CI467" s="108"/>
      <c r="CJ467" s="108"/>
      <c r="CK467" s="108"/>
      <c r="CL467" s="108"/>
      <c r="CM467" s="108"/>
      <c r="CN467" s="110"/>
      <c r="CO467" s="111"/>
      <c r="CP467" s="110"/>
      <c r="CQ467" s="111"/>
      <c r="CR467" s="110"/>
      <c r="CS467" s="111"/>
      <c r="CT467" s="112">
        <f t="shared" si="116"/>
        <v>0</v>
      </c>
      <c r="CU467" s="113"/>
      <c r="CV467" s="114"/>
      <c r="CW467" s="115"/>
      <c r="CX467" s="116"/>
      <c r="CY467" s="117"/>
      <c r="CZ467" s="116"/>
      <c r="DA467" s="113"/>
      <c r="DB467" s="114"/>
      <c r="DC467" s="64"/>
      <c r="DD467" s="118"/>
    </row>
    <row r="468" spans="1:108" ht="24" outlineLevel="2">
      <c r="A468" s="178">
        <v>40518</v>
      </c>
      <c r="B468" s="164" t="s">
        <v>1962</v>
      </c>
      <c r="C468" s="164" t="s">
        <v>2302</v>
      </c>
      <c r="D468" s="166" t="s">
        <v>1182</v>
      </c>
      <c r="E468" s="163"/>
      <c r="F468" s="105"/>
      <c r="G468" s="105"/>
      <c r="H468" s="105">
        <v>30</v>
      </c>
      <c r="I468" s="105">
        <v>6</v>
      </c>
      <c r="J468" s="105"/>
      <c r="K468" s="105">
        <v>6</v>
      </c>
      <c r="L468" s="105"/>
      <c r="M468" s="105"/>
      <c r="N468" s="105"/>
      <c r="O468" s="105"/>
      <c r="P468" s="105"/>
      <c r="Q468" s="105"/>
      <c r="R468" s="105"/>
      <c r="S468" s="105"/>
      <c r="T468" s="106"/>
      <c r="U468" s="130"/>
      <c r="V468" s="1"/>
      <c r="W468" s="68">
        <f t="shared" si="111"/>
        <v>0</v>
      </c>
      <c r="X468" s="68">
        <f t="shared" si="112"/>
        <v>0</v>
      </c>
      <c r="Y468" s="68">
        <f t="shared" si="113"/>
        <v>0</v>
      </c>
      <c r="Z468" s="68">
        <f t="shared" si="114"/>
        <v>0</v>
      </c>
      <c r="AA468" s="68"/>
      <c r="AB468" s="68">
        <v>0</v>
      </c>
      <c r="AC468" s="69">
        <f t="shared" si="115"/>
        <v>0</v>
      </c>
      <c r="AD468" s="70">
        <v>0</v>
      </c>
      <c r="AE468" s="63"/>
      <c r="AF468" s="72"/>
      <c r="AG468" s="63"/>
      <c r="AH468" s="23"/>
      <c r="AI468" s="60"/>
      <c r="AJ468" s="124"/>
      <c r="AK468" s="121" t="s">
        <v>161</v>
      </c>
      <c r="AL468" s="107"/>
      <c r="AM468" s="108"/>
      <c r="AN468" s="109"/>
      <c r="AO468" s="108"/>
      <c r="AP468" s="108"/>
      <c r="AQ468" s="108"/>
      <c r="AR468" s="108"/>
      <c r="AS468" s="108"/>
      <c r="AT468" s="108"/>
      <c r="AU468" s="108"/>
      <c r="AV468" s="108"/>
      <c r="AW468" s="108"/>
      <c r="AX468" s="108"/>
      <c r="AY468" s="108"/>
      <c r="AZ468" s="108"/>
      <c r="BA468" s="108"/>
      <c r="BB468" s="108"/>
      <c r="BC468" s="108"/>
      <c r="BD468" s="108"/>
      <c r="BE468" s="108"/>
      <c r="BF468" s="108"/>
      <c r="BG468" s="108"/>
      <c r="BH468" s="108"/>
      <c r="BI468" s="108"/>
      <c r="BJ468" s="108"/>
      <c r="BK468" s="108"/>
      <c r="BL468" s="108"/>
      <c r="BM468" s="108"/>
      <c r="BN468" s="108"/>
      <c r="BO468" s="108"/>
      <c r="BP468" s="108"/>
      <c r="BQ468" s="108"/>
      <c r="BR468" s="108"/>
      <c r="BS468" s="108"/>
      <c r="BT468" s="108"/>
      <c r="BU468" s="108"/>
      <c r="BV468" s="108"/>
      <c r="BW468" s="108"/>
      <c r="BX468" s="108"/>
      <c r="BY468" s="108"/>
      <c r="BZ468" s="108"/>
      <c r="CA468" s="108"/>
      <c r="CB468" s="108"/>
      <c r="CC468" s="108"/>
      <c r="CD468" s="108"/>
      <c r="CE468" s="108"/>
      <c r="CF468" s="108"/>
      <c r="CG468" s="108"/>
      <c r="CH468" s="108"/>
      <c r="CI468" s="108"/>
      <c r="CJ468" s="108"/>
      <c r="CK468" s="108"/>
      <c r="CL468" s="108"/>
      <c r="CM468" s="108"/>
      <c r="CN468" s="110"/>
      <c r="CO468" s="111"/>
      <c r="CP468" s="110"/>
      <c r="CQ468" s="111"/>
      <c r="CR468" s="110"/>
      <c r="CS468" s="111"/>
      <c r="CT468" s="112">
        <f t="shared" si="116"/>
        <v>0</v>
      </c>
      <c r="CU468" s="113"/>
      <c r="CV468" s="114"/>
      <c r="CW468" s="115"/>
      <c r="CX468" s="116"/>
      <c r="CY468" s="117"/>
      <c r="CZ468" s="116"/>
      <c r="DA468" s="113"/>
      <c r="DB468" s="114"/>
      <c r="DC468" s="64"/>
      <c r="DD468" s="118"/>
    </row>
    <row r="469" spans="1:108" outlineLevel="2">
      <c r="A469" s="178">
        <v>40512</v>
      </c>
      <c r="B469" s="164" t="s">
        <v>1962</v>
      </c>
      <c r="C469" s="164" t="s">
        <v>2411</v>
      </c>
      <c r="D469" s="166" t="s">
        <v>1262</v>
      </c>
      <c r="E469" s="163">
        <v>1</v>
      </c>
      <c r="F469" s="105"/>
      <c r="G469" s="105"/>
      <c r="H469" s="105">
        <f>16*5</f>
        <v>80</v>
      </c>
      <c r="I469" s="105">
        <v>16</v>
      </c>
      <c r="J469" s="105">
        <v>1</v>
      </c>
      <c r="K469" s="105">
        <v>15</v>
      </c>
      <c r="L469" s="105"/>
      <c r="M469" s="105"/>
      <c r="N469" s="105"/>
      <c r="O469" s="105"/>
      <c r="P469" s="105"/>
      <c r="Q469" s="105"/>
      <c r="R469" s="105"/>
      <c r="S469" s="105"/>
      <c r="T469" s="106"/>
      <c r="U469" s="130"/>
      <c r="V469" s="1"/>
      <c r="W469" s="68">
        <f t="shared" si="111"/>
        <v>0</v>
      </c>
      <c r="X469" s="68">
        <f t="shared" si="112"/>
        <v>0</v>
      </c>
      <c r="Y469" s="68">
        <f t="shared" si="113"/>
        <v>0</v>
      </c>
      <c r="Z469" s="68">
        <f t="shared" si="114"/>
        <v>0</v>
      </c>
      <c r="AA469" s="68"/>
      <c r="AB469" s="68">
        <v>0</v>
      </c>
      <c r="AC469" s="69">
        <f t="shared" si="115"/>
        <v>0</v>
      </c>
      <c r="AD469" s="70">
        <v>0</v>
      </c>
      <c r="AE469" s="65"/>
      <c r="AF469" s="71"/>
      <c r="AG469" s="65"/>
      <c r="AH469" s="54"/>
      <c r="AI469" s="59"/>
      <c r="AJ469" s="189"/>
      <c r="AK469" s="121" t="s">
        <v>2412</v>
      </c>
      <c r="AL469" s="107"/>
      <c r="AM469" s="108"/>
      <c r="AN469" s="109"/>
      <c r="AO469" s="108"/>
      <c r="AP469" s="108"/>
      <c r="AQ469" s="108"/>
      <c r="AR469" s="108"/>
      <c r="AS469" s="108"/>
      <c r="AT469" s="108"/>
      <c r="AU469" s="108"/>
      <c r="AV469" s="108"/>
      <c r="AW469" s="108"/>
      <c r="AX469" s="108"/>
      <c r="AY469" s="108"/>
      <c r="AZ469" s="108"/>
      <c r="BA469" s="108"/>
      <c r="BB469" s="108"/>
      <c r="BC469" s="108"/>
      <c r="BD469" s="108"/>
      <c r="BE469" s="108"/>
      <c r="BF469" s="108"/>
      <c r="BG469" s="108"/>
      <c r="BH469" s="108"/>
      <c r="BI469" s="108"/>
      <c r="BJ469" s="108"/>
      <c r="BK469" s="108"/>
      <c r="BL469" s="108"/>
      <c r="BM469" s="108"/>
      <c r="BN469" s="108"/>
      <c r="BO469" s="108"/>
      <c r="BP469" s="108"/>
      <c r="BQ469" s="108"/>
      <c r="BR469" s="108"/>
      <c r="BS469" s="108"/>
      <c r="BT469" s="108"/>
      <c r="BU469" s="108"/>
      <c r="BV469" s="108"/>
      <c r="BW469" s="108"/>
      <c r="BX469" s="108"/>
      <c r="BY469" s="108"/>
      <c r="BZ469" s="108"/>
      <c r="CA469" s="108"/>
      <c r="CB469" s="108"/>
      <c r="CC469" s="108"/>
      <c r="CD469" s="108"/>
      <c r="CE469" s="108"/>
      <c r="CF469" s="108"/>
      <c r="CG469" s="108"/>
      <c r="CH469" s="108"/>
      <c r="CI469" s="108"/>
      <c r="CJ469" s="108"/>
      <c r="CK469" s="108"/>
      <c r="CL469" s="108"/>
      <c r="CM469" s="108"/>
      <c r="CN469" s="110"/>
      <c r="CO469" s="111"/>
      <c r="CP469" s="110"/>
      <c r="CQ469" s="111"/>
      <c r="CR469" s="110"/>
      <c r="CS469" s="111"/>
      <c r="CT469" s="112">
        <f t="shared" si="116"/>
        <v>0</v>
      </c>
      <c r="CU469" s="113"/>
      <c r="CV469" s="114"/>
      <c r="CW469" s="115"/>
      <c r="CX469" s="116"/>
      <c r="CY469" s="117"/>
      <c r="CZ469" s="116"/>
      <c r="DA469" s="113"/>
      <c r="DB469" s="114"/>
      <c r="DC469" s="64"/>
      <c r="DD469" s="118"/>
    </row>
    <row r="470" spans="1:108" outlineLevel="2">
      <c r="A470" s="178">
        <v>40483</v>
      </c>
      <c r="B470" s="164" t="s">
        <v>1962</v>
      </c>
      <c r="C470" s="164" t="s">
        <v>250</v>
      </c>
      <c r="D470" s="166" t="s">
        <v>1182</v>
      </c>
      <c r="E470" s="163">
        <v>1</v>
      </c>
      <c r="F470" s="105">
        <v>1</v>
      </c>
      <c r="G470" s="105"/>
      <c r="H470" s="105">
        <f>26*5</f>
        <v>130</v>
      </c>
      <c r="I470" s="105">
        <v>26</v>
      </c>
      <c r="J470" s="105">
        <v>1</v>
      </c>
      <c r="K470" s="105">
        <v>25</v>
      </c>
      <c r="L470" s="105"/>
      <c r="M470" s="105"/>
      <c r="N470" s="105"/>
      <c r="O470" s="105"/>
      <c r="P470" s="105"/>
      <c r="Q470" s="105"/>
      <c r="R470" s="105"/>
      <c r="S470" s="105"/>
      <c r="T470" s="106"/>
      <c r="U470" s="130"/>
      <c r="V470" s="1"/>
      <c r="W470" s="68">
        <f t="shared" si="111"/>
        <v>0</v>
      </c>
      <c r="X470" s="68">
        <f t="shared" si="112"/>
        <v>0</v>
      </c>
      <c r="Y470" s="68">
        <f t="shared" si="113"/>
        <v>0</v>
      </c>
      <c r="Z470" s="68">
        <f t="shared" si="114"/>
        <v>0</v>
      </c>
      <c r="AA470" s="68"/>
      <c r="AB470" s="68">
        <v>0</v>
      </c>
      <c r="AC470" s="69">
        <f t="shared" si="115"/>
        <v>0</v>
      </c>
      <c r="AD470" s="70">
        <v>0</v>
      </c>
      <c r="AE470" s="65"/>
      <c r="AF470" s="71"/>
      <c r="AG470" s="65"/>
      <c r="AH470" s="54"/>
      <c r="AI470" s="59"/>
      <c r="AJ470" s="189"/>
      <c r="AK470" s="121"/>
      <c r="AL470" s="107"/>
      <c r="AM470" s="108"/>
      <c r="AN470" s="109"/>
      <c r="AO470" s="108"/>
      <c r="AP470" s="108"/>
      <c r="AQ470" s="108"/>
      <c r="AR470" s="108"/>
      <c r="AS470" s="108"/>
      <c r="AT470" s="108"/>
      <c r="AU470" s="108"/>
      <c r="AV470" s="108"/>
      <c r="AW470" s="108"/>
      <c r="AX470" s="108"/>
      <c r="AY470" s="108"/>
      <c r="AZ470" s="108"/>
      <c r="BA470" s="108"/>
      <c r="BB470" s="108"/>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c r="BY470" s="108"/>
      <c r="BZ470" s="108"/>
      <c r="CA470" s="108"/>
      <c r="CB470" s="108"/>
      <c r="CC470" s="108"/>
      <c r="CD470" s="108"/>
      <c r="CE470" s="108"/>
      <c r="CF470" s="108"/>
      <c r="CG470" s="108"/>
      <c r="CH470" s="108"/>
      <c r="CI470" s="108"/>
      <c r="CJ470" s="108"/>
      <c r="CK470" s="108"/>
      <c r="CL470" s="108"/>
      <c r="CM470" s="108"/>
      <c r="CN470" s="110"/>
      <c r="CO470" s="111"/>
      <c r="CP470" s="110"/>
      <c r="CQ470" s="111"/>
      <c r="CR470" s="110"/>
      <c r="CS470" s="111"/>
      <c r="CT470" s="112">
        <f t="shared" si="116"/>
        <v>0</v>
      </c>
      <c r="CU470" s="113"/>
      <c r="CV470" s="114"/>
      <c r="CW470" s="115"/>
      <c r="CX470" s="116"/>
      <c r="CY470" s="117"/>
      <c r="CZ470" s="116"/>
      <c r="DA470" s="113"/>
      <c r="DB470" s="114"/>
      <c r="DC470" s="64"/>
      <c r="DD470" s="118"/>
    </row>
    <row r="471" spans="1:108" outlineLevel="1">
      <c r="A471" s="178"/>
      <c r="B471" s="192" t="s">
        <v>2444</v>
      </c>
      <c r="C471" s="164"/>
      <c r="D471" s="166"/>
      <c r="E471" s="163">
        <f t="shared" ref="E471:T471" si="117">SUBTOTAL(9,E439:E470)</f>
        <v>21</v>
      </c>
      <c r="F471" s="105">
        <f t="shared" si="117"/>
        <v>27</v>
      </c>
      <c r="G471" s="105">
        <f t="shared" si="117"/>
        <v>5</v>
      </c>
      <c r="H471" s="105">
        <f t="shared" si="117"/>
        <v>7268</v>
      </c>
      <c r="I471" s="105">
        <f t="shared" si="117"/>
        <v>1583</v>
      </c>
      <c r="J471" s="105">
        <f t="shared" si="117"/>
        <v>26</v>
      </c>
      <c r="K471" s="105">
        <f t="shared" si="117"/>
        <v>1519</v>
      </c>
      <c r="L471" s="105">
        <f t="shared" si="117"/>
        <v>3</v>
      </c>
      <c r="M471" s="105">
        <f t="shared" si="117"/>
        <v>0</v>
      </c>
      <c r="N471" s="105">
        <f t="shared" si="117"/>
        <v>0</v>
      </c>
      <c r="O471" s="105">
        <f t="shared" si="117"/>
        <v>1</v>
      </c>
      <c r="P471" s="105">
        <f t="shared" si="117"/>
        <v>0</v>
      </c>
      <c r="Q471" s="105">
        <f t="shared" si="117"/>
        <v>0</v>
      </c>
      <c r="R471" s="105">
        <f t="shared" si="117"/>
        <v>1</v>
      </c>
      <c r="S471" s="105">
        <f t="shared" si="117"/>
        <v>0</v>
      </c>
      <c r="T471" s="106">
        <f t="shared" si="117"/>
        <v>0</v>
      </c>
      <c r="U471" s="130"/>
      <c r="V471" s="1"/>
      <c r="W471" s="68">
        <f t="shared" ref="W471:AD471" si="118">SUBTOTAL(9,W439:W470)</f>
        <v>0</v>
      </c>
      <c r="X471" s="68">
        <f t="shared" si="118"/>
        <v>0</v>
      </c>
      <c r="Y471" s="68">
        <f t="shared" si="118"/>
        <v>0</v>
      </c>
      <c r="Z471" s="68">
        <f t="shared" si="118"/>
        <v>0</v>
      </c>
      <c r="AA471" s="68">
        <f t="shared" si="118"/>
        <v>0</v>
      </c>
      <c r="AB471" s="68">
        <f t="shared" si="118"/>
        <v>0</v>
      </c>
      <c r="AC471" s="69">
        <f t="shared" si="118"/>
        <v>0</v>
      </c>
      <c r="AD471" s="70">
        <f t="shared" si="118"/>
        <v>0</v>
      </c>
      <c r="AE471" s="65"/>
      <c r="AF471" s="71"/>
      <c r="AG471" s="65"/>
      <c r="AH471" s="54"/>
      <c r="AI471" s="59"/>
      <c r="AJ471" s="189"/>
      <c r="AK471" s="121"/>
      <c r="AL471" s="107"/>
      <c r="AM471" s="108"/>
      <c r="AN471" s="109"/>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c r="BU471" s="108"/>
      <c r="BV471" s="108"/>
      <c r="BW471" s="108"/>
      <c r="BX471" s="108"/>
      <c r="BY471" s="108"/>
      <c r="BZ471" s="108"/>
      <c r="CA471" s="108"/>
      <c r="CB471" s="108"/>
      <c r="CC471" s="108"/>
      <c r="CD471" s="108"/>
      <c r="CE471" s="108"/>
      <c r="CF471" s="108"/>
      <c r="CG471" s="108"/>
      <c r="CH471" s="108"/>
      <c r="CI471" s="108"/>
      <c r="CJ471" s="108"/>
      <c r="CK471" s="108"/>
      <c r="CL471" s="108"/>
      <c r="CM471" s="108"/>
      <c r="CN471" s="110"/>
      <c r="CO471" s="111"/>
      <c r="CP471" s="110"/>
      <c r="CQ471" s="111"/>
      <c r="CR471" s="110"/>
      <c r="CS471" s="111"/>
      <c r="CT471" s="112"/>
      <c r="CU471" s="113"/>
      <c r="CV471" s="114"/>
      <c r="CW471" s="115"/>
      <c r="CX471" s="116"/>
      <c r="CY471" s="117"/>
      <c r="CZ471" s="116"/>
      <c r="DA471" s="113"/>
      <c r="DB471" s="114"/>
      <c r="DC471" s="64"/>
      <c r="DD471" s="118"/>
    </row>
    <row r="472" spans="1:108" ht="22.5" outlineLevel="2">
      <c r="A472" s="178">
        <v>40279</v>
      </c>
      <c r="B472" s="82" t="s">
        <v>533</v>
      </c>
      <c r="C472" s="82" t="s">
        <v>883</v>
      </c>
      <c r="D472" s="165" t="s">
        <v>1262</v>
      </c>
      <c r="E472" s="167"/>
      <c r="F472" s="66"/>
      <c r="G472" s="66"/>
      <c r="H472" s="66">
        <v>10</v>
      </c>
      <c r="I472" s="66">
        <v>2</v>
      </c>
      <c r="J472" s="66"/>
      <c r="K472" s="66">
        <v>2</v>
      </c>
      <c r="L472" s="66"/>
      <c r="M472" s="66"/>
      <c r="N472" s="66"/>
      <c r="O472" s="66"/>
      <c r="P472" s="66"/>
      <c r="Q472" s="66"/>
      <c r="R472" s="66"/>
      <c r="S472" s="66"/>
      <c r="T472" s="67"/>
      <c r="U472" s="151"/>
      <c r="V472" s="1"/>
      <c r="W472" s="68">
        <f t="shared" ref="W472:W485" si="119">CT472</f>
        <v>0</v>
      </c>
      <c r="X472" s="68">
        <f t="shared" ref="X472:X485" si="120">CX472</f>
        <v>0</v>
      </c>
      <c r="Y472" s="68">
        <f t="shared" ref="Y472:Y483" si="121">CZ472+DB472</f>
        <v>0</v>
      </c>
      <c r="Z472" s="68">
        <f t="shared" ref="Z472:Z485" si="122">CV472</f>
        <v>0</v>
      </c>
      <c r="AA472" s="68"/>
      <c r="AB472" s="68">
        <v>0</v>
      </c>
      <c r="AC472" s="69">
        <f t="shared" ref="AC472:AC485" si="123">W472+X472+Y472+Z472+AA472+AB472</f>
        <v>0</v>
      </c>
      <c r="AD472" s="70">
        <v>0</v>
      </c>
      <c r="AE472" s="63">
        <v>40280</v>
      </c>
      <c r="AF472" s="72"/>
      <c r="AG472" s="63" t="s">
        <v>938</v>
      </c>
      <c r="AH472" s="23" t="s">
        <v>939</v>
      </c>
      <c r="AI472" s="60"/>
      <c r="AJ472" s="133" t="s">
        <v>1608</v>
      </c>
      <c r="AK472" s="73" t="s">
        <v>525</v>
      </c>
      <c r="AL472" s="3"/>
      <c r="AM472" s="4"/>
      <c r="AN472" s="5"/>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6"/>
      <c r="CO472" s="7"/>
      <c r="CP472" s="6"/>
      <c r="CQ472" s="7"/>
      <c r="CR472" s="6"/>
      <c r="CS472" s="7"/>
      <c r="CT472" s="8">
        <f t="shared" ref="CT472:CT485" si="124">AM472+AO472+AQ472+AS472+AU472+AW472+AY472+BA472+BC472+BE472+BG472+BI472+BK472+BM472+BO472+BQ472+BS472+BU472+BW472+BY472+CA472+CC472+CE472+CG472+CI472+CK472+CM472+CO472+CQ472+CS472</f>
        <v>0</v>
      </c>
      <c r="CU472" s="9"/>
      <c r="CV472" s="10"/>
      <c r="CW472" s="11"/>
      <c r="CX472" s="12"/>
      <c r="CY472" s="26"/>
      <c r="CZ472" s="12"/>
      <c r="DA472" s="9"/>
      <c r="DB472" s="10"/>
      <c r="DC472" s="64"/>
    </row>
    <row r="473" spans="1:108" ht="96" outlineLevel="2">
      <c r="A473" s="178">
        <v>40282</v>
      </c>
      <c r="B473" s="82" t="s">
        <v>533</v>
      </c>
      <c r="C473" s="82" t="s">
        <v>1821</v>
      </c>
      <c r="D473" s="165" t="s">
        <v>1262</v>
      </c>
      <c r="E473" s="167"/>
      <c r="F473" s="66"/>
      <c r="G473" s="66"/>
      <c r="H473" s="66">
        <v>270</v>
      </c>
      <c r="I473" s="66">
        <v>50</v>
      </c>
      <c r="J473" s="66"/>
      <c r="K473" s="66">
        <v>50</v>
      </c>
      <c r="L473" s="66"/>
      <c r="M473" s="66"/>
      <c r="N473" s="66"/>
      <c r="O473" s="66"/>
      <c r="P473" s="66"/>
      <c r="Q473" s="66"/>
      <c r="R473" s="66"/>
      <c r="S473" s="66"/>
      <c r="T473" s="67"/>
      <c r="U473" s="151"/>
      <c r="V473" s="1">
        <v>40340</v>
      </c>
      <c r="W473" s="68">
        <f t="shared" si="119"/>
        <v>0</v>
      </c>
      <c r="X473" s="68">
        <f t="shared" si="120"/>
        <v>0</v>
      </c>
      <c r="Y473" s="68">
        <f t="shared" si="121"/>
        <v>0</v>
      </c>
      <c r="Z473" s="68">
        <f t="shared" si="122"/>
        <v>0</v>
      </c>
      <c r="AA473" s="68">
        <f>2000*33872+200*24940+80*32480+1200*40368+300*38860</f>
        <v>135430000</v>
      </c>
      <c r="AB473" s="68">
        <v>0</v>
      </c>
      <c r="AC473" s="69">
        <f t="shared" si="123"/>
        <v>135430000</v>
      </c>
      <c r="AD473" s="70">
        <v>0</v>
      </c>
      <c r="AE473" s="63">
        <v>40303</v>
      </c>
      <c r="AF473" s="72">
        <v>97232</v>
      </c>
      <c r="AG473" s="63" t="s">
        <v>954</v>
      </c>
      <c r="AH473" s="23" t="s">
        <v>955</v>
      </c>
      <c r="AI473" s="60">
        <v>154</v>
      </c>
      <c r="AJ473" s="133" t="s">
        <v>415</v>
      </c>
      <c r="AK473" s="73" t="s">
        <v>1380</v>
      </c>
      <c r="AL473" s="3"/>
      <c r="AM473" s="4"/>
      <c r="AN473" s="5"/>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6"/>
      <c r="CO473" s="7"/>
      <c r="CP473" s="6"/>
      <c r="CQ473" s="7"/>
      <c r="CR473" s="6"/>
      <c r="CS473" s="7"/>
      <c r="CT473" s="8">
        <f t="shared" si="124"/>
        <v>0</v>
      </c>
      <c r="CU473" s="9"/>
      <c r="CV473" s="10"/>
      <c r="CW473" s="11"/>
      <c r="CX473" s="12"/>
      <c r="CY473" s="26"/>
      <c r="CZ473" s="12"/>
      <c r="DA473" s="9"/>
      <c r="DB473" s="10"/>
      <c r="DC473" s="64"/>
    </row>
    <row r="474" spans="1:108" ht="84" outlineLevel="2">
      <c r="A474" s="178">
        <v>40298</v>
      </c>
      <c r="B474" s="82" t="s">
        <v>533</v>
      </c>
      <c r="C474" s="82" t="s">
        <v>270</v>
      </c>
      <c r="D474" s="165" t="s">
        <v>1262</v>
      </c>
      <c r="E474" s="167"/>
      <c r="F474" s="66"/>
      <c r="G474" s="66"/>
      <c r="H474" s="66">
        <v>1000</v>
      </c>
      <c r="I474" s="66">
        <v>200</v>
      </c>
      <c r="J474" s="66"/>
      <c r="K474" s="66">
        <v>200</v>
      </c>
      <c r="L474" s="66"/>
      <c r="M474" s="66"/>
      <c r="N474" s="66"/>
      <c r="O474" s="66"/>
      <c r="P474" s="66"/>
      <c r="Q474" s="66"/>
      <c r="R474" s="66"/>
      <c r="S474" s="66"/>
      <c r="T474" s="67"/>
      <c r="U474" s="151"/>
      <c r="V474" s="1">
        <v>40340</v>
      </c>
      <c r="W474" s="68">
        <f t="shared" si="119"/>
        <v>0</v>
      </c>
      <c r="X474" s="68">
        <f t="shared" si="120"/>
        <v>0</v>
      </c>
      <c r="Y474" s="68">
        <f t="shared" si="121"/>
        <v>0</v>
      </c>
      <c r="Z474" s="68">
        <f t="shared" si="122"/>
        <v>0</v>
      </c>
      <c r="AA474" s="68">
        <f>300*24940+12*40368+41*42804+36*93032+6*164720+600*18560</f>
        <v>25194852</v>
      </c>
      <c r="AB474" s="68">
        <v>0</v>
      </c>
      <c r="AC474" s="69">
        <f t="shared" si="123"/>
        <v>25194852</v>
      </c>
      <c r="AD474" s="70">
        <v>0</v>
      </c>
      <c r="AE474" s="63">
        <v>40312</v>
      </c>
      <c r="AF474" s="72">
        <v>97541</v>
      </c>
      <c r="AG474" s="63" t="s">
        <v>954</v>
      </c>
      <c r="AH474" s="23" t="s">
        <v>955</v>
      </c>
      <c r="AI474" s="60">
        <v>154</v>
      </c>
      <c r="AJ474" s="133" t="s">
        <v>415</v>
      </c>
      <c r="AK474" s="73" t="s">
        <v>1201</v>
      </c>
      <c r="AL474" s="3"/>
      <c r="AM474" s="4"/>
      <c r="AN474" s="5"/>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6"/>
      <c r="CO474" s="7"/>
      <c r="CP474" s="6"/>
      <c r="CQ474" s="7"/>
      <c r="CR474" s="6"/>
      <c r="CS474" s="7"/>
      <c r="CT474" s="8">
        <f t="shared" si="124"/>
        <v>0</v>
      </c>
      <c r="CU474" s="9"/>
      <c r="CV474" s="10"/>
      <c r="CW474" s="11"/>
      <c r="CX474" s="12"/>
      <c r="CY474" s="26"/>
      <c r="CZ474" s="12"/>
      <c r="DA474" s="9"/>
      <c r="DB474" s="10"/>
      <c r="DC474" s="64"/>
    </row>
    <row r="475" spans="1:108" ht="45" outlineLevel="2">
      <c r="A475" s="178">
        <v>40316</v>
      </c>
      <c r="B475" s="82" t="s">
        <v>533</v>
      </c>
      <c r="C475" s="82" t="s">
        <v>2218</v>
      </c>
      <c r="D475" s="165" t="s">
        <v>1262</v>
      </c>
      <c r="E475" s="167"/>
      <c r="F475" s="66"/>
      <c r="G475" s="66"/>
      <c r="H475" s="66">
        <f>35*5</f>
        <v>175</v>
      </c>
      <c r="I475" s="66">
        <v>35</v>
      </c>
      <c r="J475" s="66"/>
      <c r="K475" s="66">
        <v>35</v>
      </c>
      <c r="L475" s="66"/>
      <c r="M475" s="66"/>
      <c r="N475" s="66"/>
      <c r="O475" s="66"/>
      <c r="P475" s="66"/>
      <c r="Q475" s="66"/>
      <c r="R475" s="66"/>
      <c r="S475" s="66"/>
      <c r="T475" s="67">
        <f>21+36+1+4.5+59+1</f>
        <v>122.5</v>
      </c>
      <c r="U475" s="151" t="s">
        <v>243</v>
      </c>
      <c r="V475" s="1">
        <v>40386</v>
      </c>
      <c r="W475" s="68">
        <f t="shared" si="119"/>
        <v>10692500</v>
      </c>
      <c r="X475" s="68">
        <f t="shared" si="120"/>
        <v>5950000</v>
      </c>
      <c r="Y475" s="68">
        <f t="shared" si="121"/>
        <v>0</v>
      </c>
      <c r="Z475" s="68">
        <f t="shared" si="122"/>
        <v>0</v>
      </c>
      <c r="AA475" s="68"/>
      <c r="AB475" s="68">
        <v>0</v>
      </c>
      <c r="AC475" s="69">
        <f t="shared" si="123"/>
        <v>16642500</v>
      </c>
      <c r="AD475" s="70">
        <v>0</v>
      </c>
      <c r="AE475" s="63">
        <v>40329</v>
      </c>
      <c r="AF475" s="72">
        <v>97905</v>
      </c>
      <c r="AG475" s="63" t="s">
        <v>954</v>
      </c>
      <c r="AH475" s="23" t="s">
        <v>955</v>
      </c>
      <c r="AI475" s="60">
        <v>218</v>
      </c>
      <c r="AJ475" s="133" t="s">
        <v>415</v>
      </c>
      <c r="AK475" s="73" t="s">
        <v>1960</v>
      </c>
      <c r="AL475" s="3"/>
      <c r="AM475" s="4"/>
      <c r="AN475" s="5"/>
      <c r="AO475" s="4"/>
      <c r="AP475" s="4"/>
      <c r="AQ475" s="4"/>
      <c r="AR475" s="4"/>
      <c r="AS475" s="4"/>
      <c r="AT475" s="4"/>
      <c r="AU475" s="4"/>
      <c r="AV475" s="4"/>
      <c r="AW475" s="4"/>
      <c r="AX475" s="4"/>
      <c r="AY475" s="4"/>
      <c r="AZ475" s="4">
        <v>105</v>
      </c>
      <c r="BA475" s="4">
        <f>105*56000</f>
        <v>5880000</v>
      </c>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v>105</v>
      </c>
      <c r="CI475" s="4">
        <f>105*21000</f>
        <v>2205000</v>
      </c>
      <c r="CJ475" s="4"/>
      <c r="CK475" s="4"/>
      <c r="CL475" s="4"/>
      <c r="CM475" s="4"/>
      <c r="CN475" s="6">
        <v>35</v>
      </c>
      <c r="CO475" s="7">
        <f>35*38500</f>
        <v>1347500</v>
      </c>
      <c r="CP475" s="6">
        <v>35</v>
      </c>
      <c r="CQ475" s="7">
        <f>35*36000</f>
        <v>1260000</v>
      </c>
      <c r="CR475" s="6"/>
      <c r="CS475" s="7"/>
      <c r="CT475" s="8">
        <f t="shared" si="124"/>
        <v>10692500</v>
      </c>
      <c r="CU475" s="9"/>
      <c r="CV475" s="10"/>
      <c r="CW475" s="11">
        <v>70</v>
      </c>
      <c r="CX475" s="12">
        <f>70*85000</f>
        <v>5950000</v>
      </c>
      <c r="CY475" s="26"/>
      <c r="CZ475" s="12"/>
      <c r="DA475" s="9"/>
      <c r="DB475" s="10"/>
      <c r="DC475" s="64"/>
      <c r="DD475" s="22">
        <v>1085</v>
      </c>
    </row>
    <row r="476" spans="1:108" ht="84" outlineLevel="2">
      <c r="A476" s="178">
        <v>40320</v>
      </c>
      <c r="B476" s="82" t="s">
        <v>533</v>
      </c>
      <c r="C476" s="82" t="s">
        <v>1821</v>
      </c>
      <c r="D476" s="165" t="s">
        <v>1262</v>
      </c>
      <c r="E476" s="167">
        <v>1</v>
      </c>
      <c r="F476" s="66">
        <v>7</v>
      </c>
      <c r="G476" s="66"/>
      <c r="H476" s="66">
        <v>12511</v>
      </c>
      <c r="I476" s="66">
        <v>3350</v>
      </c>
      <c r="J476" s="66">
        <v>68</v>
      </c>
      <c r="K476" s="66">
        <v>3282</v>
      </c>
      <c r="L476" s="66"/>
      <c r="M476" s="66"/>
      <c r="N476" s="66"/>
      <c r="O476" s="66"/>
      <c r="P476" s="66"/>
      <c r="Q476" s="66"/>
      <c r="R476" s="66"/>
      <c r="S476" s="66"/>
      <c r="T476" s="67"/>
      <c r="U476" s="151"/>
      <c r="V476" s="1">
        <v>40330</v>
      </c>
      <c r="W476" s="68">
        <f t="shared" si="119"/>
        <v>478950720</v>
      </c>
      <c r="X476" s="68">
        <f t="shared" si="120"/>
        <v>255000000</v>
      </c>
      <c r="Y476" s="68">
        <f t="shared" si="121"/>
        <v>0</v>
      </c>
      <c r="Z476" s="68">
        <f t="shared" si="122"/>
        <v>0</v>
      </c>
      <c r="AA476" s="68"/>
      <c r="AB476" s="68">
        <v>194373600</v>
      </c>
      <c r="AC476" s="69">
        <f t="shared" si="123"/>
        <v>928324320</v>
      </c>
      <c r="AD476" s="70">
        <v>0</v>
      </c>
      <c r="AE476" s="63">
        <v>40320</v>
      </c>
      <c r="AF476" s="79" t="s">
        <v>1957</v>
      </c>
      <c r="AG476" s="63" t="s">
        <v>954</v>
      </c>
      <c r="AH476" s="23" t="s">
        <v>955</v>
      </c>
      <c r="AI476" s="75" t="s">
        <v>1569</v>
      </c>
      <c r="AJ476" s="133" t="s">
        <v>415</v>
      </c>
      <c r="AK476" s="73" t="s">
        <v>1956</v>
      </c>
      <c r="AL476" s="3"/>
      <c r="AM476" s="4"/>
      <c r="AN476" s="5"/>
      <c r="AO476" s="4"/>
      <c r="AP476" s="4"/>
      <c r="AQ476" s="4"/>
      <c r="AR476" s="4"/>
      <c r="AS476" s="4"/>
      <c r="AT476" s="4"/>
      <c r="AU476" s="4"/>
      <c r="AV476" s="4"/>
      <c r="AW476" s="4"/>
      <c r="AX476" s="4">
        <v>1069</v>
      </c>
      <c r="AY476" s="4">
        <f>1069*56000</f>
        <v>59864000</v>
      </c>
      <c r="AZ476" s="4">
        <f>1000+1431</f>
        <v>2431</v>
      </c>
      <c r="BA476" s="4">
        <f>1000*56000+1431*56000</f>
        <v>136136000</v>
      </c>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f>1000+2000</f>
        <v>3000</v>
      </c>
      <c r="CI476" s="4">
        <f>1000*21000+2000*21500</f>
        <v>64000000</v>
      </c>
      <c r="CJ476" s="4"/>
      <c r="CK476" s="4"/>
      <c r="CL476" s="4"/>
      <c r="CM476" s="4"/>
      <c r="CN476" s="6">
        <f>2000+1000</f>
        <v>3000</v>
      </c>
      <c r="CO476" s="7">
        <f>2000*36999.36+1000*36952</f>
        <v>110950720</v>
      </c>
      <c r="CP476" s="6">
        <f>1000+2000</f>
        <v>3000</v>
      </c>
      <c r="CQ476" s="7">
        <f>1000*36000+2000*36000</f>
        <v>108000000</v>
      </c>
      <c r="CR476" s="6"/>
      <c r="CS476" s="7"/>
      <c r="CT476" s="8">
        <f t="shared" si="124"/>
        <v>478950720</v>
      </c>
      <c r="CU476" s="9"/>
      <c r="CV476" s="10"/>
      <c r="CW476" s="11">
        <f>1000+1000+1000</f>
        <v>3000</v>
      </c>
      <c r="CX476" s="12">
        <f>1000*85000+1000*85000+1000*85000</f>
        <v>255000000</v>
      </c>
      <c r="CY476" s="26"/>
      <c r="CZ476" s="12"/>
      <c r="DA476" s="9"/>
      <c r="DB476" s="10"/>
      <c r="DC476" s="64">
        <v>4</v>
      </c>
      <c r="DD476" s="22">
        <v>1062</v>
      </c>
    </row>
    <row r="477" spans="1:108" ht="48" outlineLevel="2">
      <c r="A477" s="178">
        <v>40321</v>
      </c>
      <c r="B477" s="82" t="s">
        <v>533</v>
      </c>
      <c r="C477" s="82" t="s">
        <v>270</v>
      </c>
      <c r="D477" s="165" t="s">
        <v>1262</v>
      </c>
      <c r="E477" s="167"/>
      <c r="F477" s="66"/>
      <c r="G477" s="66"/>
      <c r="H477" s="66"/>
      <c r="I477" s="66"/>
      <c r="J477" s="66"/>
      <c r="K477" s="66"/>
      <c r="L477" s="66"/>
      <c r="M477" s="66">
        <v>1</v>
      </c>
      <c r="N477" s="66"/>
      <c r="O477" s="66"/>
      <c r="P477" s="66"/>
      <c r="Q477" s="66"/>
      <c r="R477" s="66"/>
      <c r="S477" s="66"/>
      <c r="T477" s="67"/>
      <c r="U477" s="151"/>
      <c r="V477" s="1"/>
      <c r="W477" s="68">
        <f t="shared" si="119"/>
        <v>0</v>
      </c>
      <c r="X477" s="68">
        <f t="shared" si="120"/>
        <v>0</v>
      </c>
      <c r="Y477" s="68">
        <f t="shared" si="121"/>
        <v>0</v>
      </c>
      <c r="Z477" s="68">
        <f t="shared" si="122"/>
        <v>0</v>
      </c>
      <c r="AA477" s="68"/>
      <c r="AB477" s="68">
        <v>0</v>
      </c>
      <c r="AC477" s="69">
        <f t="shared" si="123"/>
        <v>0</v>
      </c>
      <c r="AD477" s="70">
        <v>0</v>
      </c>
      <c r="AE477" s="63">
        <v>40323</v>
      </c>
      <c r="AF477" s="72"/>
      <c r="AG477" s="63" t="s">
        <v>938</v>
      </c>
      <c r="AH477" s="23" t="s">
        <v>939</v>
      </c>
      <c r="AI477" s="60"/>
      <c r="AJ477" s="133" t="s">
        <v>1608</v>
      </c>
      <c r="AK477" s="73" t="s">
        <v>431</v>
      </c>
      <c r="AL477" s="3"/>
      <c r="AM477" s="4"/>
      <c r="AN477" s="5"/>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6"/>
      <c r="CO477" s="7"/>
      <c r="CP477" s="6"/>
      <c r="CQ477" s="7"/>
      <c r="CR477" s="6"/>
      <c r="CS477" s="7"/>
      <c r="CT477" s="8">
        <f t="shared" si="124"/>
        <v>0</v>
      </c>
      <c r="CU477" s="9"/>
      <c r="CV477" s="10"/>
      <c r="CW477" s="11"/>
      <c r="CX477" s="12"/>
      <c r="CY477" s="26"/>
      <c r="CZ477" s="12"/>
      <c r="DA477" s="9"/>
      <c r="DB477" s="10"/>
      <c r="DC477" s="64"/>
    </row>
    <row r="478" spans="1:108" ht="24" outlineLevel="2">
      <c r="A478" s="178">
        <v>40322</v>
      </c>
      <c r="B478" s="82" t="s">
        <v>533</v>
      </c>
      <c r="C478" s="82" t="s">
        <v>567</v>
      </c>
      <c r="D478" s="165" t="s">
        <v>1262</v>
      </c>
      <c r="E478" s="167"/>
      <c r="F478" s="66"/>
      <c r="G478" s="66"/>
      <c r="H478" s="66">
        <v>400</v>
      </c>
      <c r="I478" s="66">
        <v>80</v>
      </c>
      <c r="J478" s="66"/>
      <c r="K478" s="66">
        <v>80</v>
      </c>
      <c r="L478" s="66"/>
      <c r="M478" s="66"/>
      <c r="N478" s="66"/>
      <c r="O478" s="66"/>
      <c r="P478" s="66"/>
      <c r="Q478" s="66"/>
      <c r="R478" s="66"/>
      <c r="S478" s="66"/>
      <c r="T478" s="67"/>
      <c r="U478" s="151"/>
      <c r="V478" s="1"/>
      <c r="W478" s="68">
        <f t="shared" si="119"/>
        <v>0</v>
      </c>
      <c r="X478" s="68">
        <f t="shared" si="120"/>
        <v>0</v>
      </c>
      <c r="Y478" s="68">
        <f t="shared" si="121"/>
        <v>0</v>
      </c>
      <c r="Z478" s="68">
        <f t="shared" si="122"/>
        <v>0</v>
      </c>
      <c r="AA478" s="68"/>
      <c r="AB478" s="68">
        <v>0</v>
      </c>
      <c r="AC478" s="69">
        <f t="shared" si="123"/>
        <v>0</v>
      </c>
      <c r="AD478" s="70">
        <v>0</v>
      </c>
      <c r="AE478" s="65">
        <v>40323</v>
      </c>
      <c r="AF478" s="71"/>
      <c r="AG478" s="65" t="s">
        <v>938</v>
      </c>
      <c r="AH478" s="54" t="s">
        <v>939</v>
      </c>
      <c r="AI478" s="59"/>
      <c r="AJ478" s="156" t="s">
        <v>1608</v>
      </c>
      <c r="AK478" s="73" t="s">
        <v>568</v>
      </c>
      <c r="AL478" s="3"/>
      <c r="AM478" s="4"/>
      <c r="AN478" s="5"/>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6"/>
      <c r="CO478" s="7"/>
      <c r="CP478" s="6"/>
      <c r="CQ478" s="7"/>
      <c r="CR478" s="6"/>
      <c r="CS478" s="7"/>
      <c r="CT478" s="8">
        <f t="shared" si="124"/>
        <v>0</v>
      </c>
      <c r="CU478" s="9"/>
      <c r="CV478" s="10"/>
      <c r="CW478" s="11"/>
      <c r="CX478" s="12"/>
      <c r="CY478" s="26"/>
      <c r="CZ478" s="12"/>
      <c r="DA478" s="9"/>
      <c r="DB478" s="10"/>
      <c r="DC478" s="64"/>
    </row>
    <row r="479" spans="1:108" ht="36" outlineLevel="2">
      <c r="A479" s="178">
        <v>40328</v>
      </c>
      <c r="B479" s="82" t="s">
        <v>533</v>
      </c>
      <c r="C479" s="82" t="s">
        <v>1821</v>
      </c>
      <c r="D479" s="165" t="s">
        <v>1182</v>
      </c>
      <c r="E479" s="167"/>
      <c r="F479" s="66"/>
      <c r="G479" s="66"/>
      <c r="H479" s="66">
        <f>20*5</f>
        <v>100</v>
      </c>
      <c r="I479" s="66">
        <v>20</v>
      </c>
      <c r="J479" s="66">
        <v>12</v>
      </c>
      <c r="K479" s="66">
        <v>8</v>
      </c>
      <c r="L479" s="66"/>
      <c r="M479" s="66"/>
      <c r="N479" s="66"/>
      <c r="O479" s="66"/>
      <c r="P479" s="66"/>
      <c r="Q479" s="66"/>
      <c r="R479" s="66"/>
      <c r="S479" s="66"/>
      <c r="T479" s="67"/>
      <c r="U479" s="151"/>
      <c r="V479" s="1"/>
      <c r="W479" s="68">
        <f t="shared" si="119"/>
        <v>0</v>
      </c>
      <c r="X479" s="68">
        <f t="shared" si="120"/>
        <v>0</v>
      </c>
      <c r="Y479" s="68">
        <f t="shared" si="121"/>
        <v>0</v>
      </c>
      <c r="Z479" s="68">
        <f t="shared" si="122"/>
        <v>0</v>
      </c>
      <c r="AA479" s="68"/>
      <c r="AB479" s="68">
        <v>0</v>
      </c>
      <c r="AC479" s="69">
        <f t="shared" si="123"/>
        <v>0</v>
      </c>
      <c r="AD479" s="70">
        <v>0</v>
      </c>
      <c r="AE479" s="63">
        <v>40329</v>
      </c>
      <c r="AF479" s="72"/>
      <c r="AG479" s="63" t="s">
        <v>938</v>
      </c>
      <c r="AH479" s="23" t="s">
        <v>939</v>
      </c>
      <c r="AI479" s="60"/>
      <c r="AJ479" s="133" t="s">
        <v>1608</v>
      </c>
      <c r="AK479" s="73" t="s">
        <v>1574</v>
      </c>
      <c r="AL479" s="3"/>
      <c r="AM479" s="4"/>
      <c r="AN479" s="5"/>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6"/>
      <c r="CO479" s="7"/>
      <c r="CP479" s="6"/>
      <c r="CQ479" s="7"/>
      <c r="CR479" s="6"/>
      <c r="CS479" s="7"/>
      <c r="CT479" s="8">
        <f t="shared" si="124"/>
        <v>0</v>
      </c>
      <c r="CU479" s="9"/>
      <c r="CV479" s="10"/>
      <c r="CW479" s="11"/>
      <c r="CX479" s="12"/>
      <c r="CY479" s="26"/>
      <c r="CZ479" s="12"/>
      <c r="DA479" s="9"/>
      <c r="DB479" s="10"/>
      <c r="DC479" s="64"/>
    </row>
    <row r="480" spans="1:108" ht="84" outlineLevel="2">
      <c r="A480" s="178">
        <v>40338</v>
      </c>
      <c r="B480" s="82" t="s">
        <v>533</v>
      </c>
      <c r="C480" s="82" t="s">
        <v>1821</v>
      </c>
      <c r="D480" s="165" t="s">
        <v>1262</v>
      </c>
      <c r="E480" s="167"/>
      <c r="F480" s="66"/>
      <c r="G480" s="66"/>
      <c r="H480" s="66"/>
      <c r="I480" s="66"/>
      <c r="J480" s="66"/>
      <c r="K480" s="66"/>
      <c r="L480" s="66"/>
      <c r="M480" s="66"/>
      <c r="N480" s="66"/>
      <c r="O480" s="66"/>
      <c r="P480" s="66"/>
      <c r="Q480" s="66"/>
      <c r="R480" s="66"/>
      <c r="S480" s="66"/>
      <c r="T480" s="67"/>
      <c r="U480" s="151"/>
      <c r="V480" s="1"/>
      <c r="W480" s="68">
        <f t="shared" si="119"/>
        <v>0</v>
      </c>
      <c r="X480" s="68">
        <f t="shared" si="120"/>
        <v>0</v>
      </c>
      <c r="Y480" s="68">
        <f t="shared" si="121"/>
        <v>0</v>
      </c>
      <c r="Z480" s="68">
        <f t="shared" si="122"/>
        <v>0</v>
      </c>
      <c r="AA480" s="68"/>
      <c r="AB480" s="68">
        <v>0</v>
      </c>
      <c r="AC480" s="69">
        <f t="shared" si="123"/>
        <v>0</v>
      </c>
      <c r="AD480" s="70">
        <v>0</v>
      </c>
      <c r="AE480" s="63">
        <v>40338</v>
      </c>
      <c r="AF480" s="72"/>
      <c r="AG480" s="63" t="s">
        <v>938</v>
      </c>
      <c r="AH480" s="23" t="s">
        <v>939</v>
      </c>
      <c r="AI480" s="60"/>
      <c r="AJ480" s="133" t="s">
        <v>1608</v>
      </c>
      <c r="AK480" s="73" t="s">
        <v>880</v>
      </c>
      <c r="AL480" s="3"/>
      <c r="AM480" s="4"/>
      <c r="AN480" s="5"/>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6"/>
      <c r="CO480" s="7"/>
      <c r="CP480" s="6"/>
      <c r="CQ480" s="7"/>
      <c r="CR480" s="6"/>
      <c r="CS480" s="7"/>
      <c r="CT480" s="8">
        <f t="shared" si="124"/>
        <v>0</v>
      </c>
      <c r="CU480" s="9"/>
      <c r="CV480" s="10"/>
      <c r="CW480" s="11"/>
      <c r="CX480" s="12"/>
      <c r="CY480" s="26"/>
      <c r="CZ480" s="12"/>
      <c r="DA480" s="9"/>
      <c r="DB480" s="10"/>
      <c r="DC480" s="64"/>
    </row>
    <row r="481" spans="1:108" outlineLevel="2">
      <c r="A481" s="178">
        <v>40338</v>
      </c>
      <c r="B481" s="82" t="s">
        <v>533</v>
      </c>
      <c r="C481" s="82" t="s">
        <v>423</v>
      </c>
      <c r="D481" s="165" t="s">
        <v>1262</v>
      </c>
      <c r="E481" s="167"/>
      <c r="F481" s="66"/>
      <c r="G481" s="66"/>
      <c r="H481" s="66">
        <v>20</v>
      </c>
      <c r="I481" s="66">
        <v>4</v>
      </c>
      <c r="J481" s="66">
        <v>4</v>
      </c>
      <c r="K481" s="66"/>
      <c r="L481" s="66"/>
      <c r="M481" s="66"/>
      <c r="N481" s="66"/>
      <c r="O481" s="66"/>
      <c r="P481" s="66"/>
      <c r="Q481" s="66"/>
      <c r="R481" s="66"/>
      <c r="S481" s="66"/>
      <c r="T481" s="67"/>
      <c r="U481" s="151"/>
      <c r="V481" s="1"/>
      <c r="W481" s="68">
        <f t="shared" si="119"/>
        <v>0</v>
      </c>
      <c r="X481" s="68">
        <f t="shared" si="120"/>
        <v>0</v>
      </c>
      <c r="Y481" s="68">
        <f t="shared" si="121"/>
        <v>0</v>
      </c>
      <c r="Z481" s="68">
        <f t="shared" si="122"/>
        <v>0</v>
      </c>
      <c r="AA481" s="68"/>
      <c r="AB481" s="68">
        <v>0</v>
      </c>
      <c r="AC481" s="69">
        <f t="shared" si="123"/>
        <v>0</v>
      </c>
      <c r="AD481" s="70">
        <v>0</v>
      </c>
      <c r="AE481" s="63">
        <v>40338</v>
      </c>
      <c r="AF481" s="72"/>
      <c r="AG481" s="63" t="s">
        <v>938</v>
      </c>
      <c r="AH481" s="23" t="s">
        <v>939</v>
      </c>
      <c r="AI481" s="60"/>
      <c r="AJ481" s="133" t="s">
        <v>1608</v>
      </c>
      <c r="AK481" s="73" t="s">
        <v>1612</v>
      </c>
      <c r="AL481" s="3"/>
      <c r="AM481" s="4"/>
      <c r="AN481" s="5"/>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6"/>
      <c r="CO481" s="7"/>
      <c r="CP481" s="6"/>
      <c r="CQ481" s="7"/>
      <c r="CR481" s="6"/>
      <c r="CS481" s="7"/>
      <c r="CT481" s="8">
        <f t="shared" si="124"/>
        <v>0</v>
      </c>
      <c r="CU481" s="9"/>
      <c r="CV481" s="10"/>
      <c r="CW481" s="11"/>
      <c r="CX481" s="12"/>
      <c r="CY481" s="26"/>
      <c r="CZ481" s="12"/>
      <c r="DA481" s="9"/>
      <c r="DB481" s="10"/>
      <c r="DC481" s="64"/>
    </row>
    <row r="482" spans="1:108" ht="24" outlineLevel="2">
      <c r="A482" s="178">
        <v>40437</v>
      </c>
      <c r="B482" s="164" t="s">
        <v>533</v>
      </c>
      <c r="C482" s="164" t="s">
        <v>1301</v>
      </c>
      <c r="D482" s="166" t="s">
        <v>435</v>
      </c>
      <c r="E482" s="163"/>
      <c r="F482" s="105">
        <v>1</v>
      </c>
      <c r="G482" s="105"/>
      <c r="H482" s="105"/>
      <c r="I482" s="105"/>
      <c r="J482" s="105"/>
      <c r="K482" s="105"/>
      <c r="L482" s="105"/>
      <c r="M482" s="105"/>
      <c r="N482" s="105"/>
      <c r="O482" s="105"/>
      <c r="P482" s="105"/>
      <c r="Q482" s="105"/>
      <c r="R482" s="105"/>
      <c r="S482" s="105"/>
      <c r="T482" s="106"/>
      <c r="U482" s="130"/>
      <c r="V482" s="1"/>
      <c r="W482" s="68">
        <f t="shared" si="119"/>
        <v>0</v>
      </c>
      <c r="X482" s="68">
        <f t="shared" si="120"/>
        <v>0</v>
      </c>
      <c r="Y482" s="68">
        <f t="shared" si="121"/>
        <v>0</v>
      </c>
      <c r="Z482" s="68">
        <f t="shared" si="122"/>
        <v>0</v>
      </c>
      <c r="AA482" s="68"/>
      <c r="AB482" s="68">
        <v>0</v>
      </c>
      <c r="AC482" s="69">
        <f t="shared" si="123"/>
        <v>0</v>
      </c>
      <c r="AD482" s="70">
        <v>0</v>
      </c>
      <c r="AE482" s="63">
        <v>40441</v>
      </c>
      <c r="AF482" s="72"/>
      <c r="AG482" s="63" t="s">
        <v>938</v>
      </c>
      <c r="AH482" s="23" t="s">
        <v>939</v>
      </c>
      <c r="AI482" s="60"/>
      <c r="AJ482" s="124" t="s">
        <v>1608</v>
      </c>
      <c r="AK482" s="121" t="s">
        <v>1300</v>
      </c>
      <c r="AL482" s="107"/>
      <c r="AM482" s="108"/>
      <c r="AN482" s="109"/>
      <c r="AO482" s="108"/>
      <c r="AP482" s="108"/>
      <c r="AQ482" s="108"/>
      <c r="AR482" s="108"/>
      <c r="AS482" s="108"/>
      <c r="AT482" s="108"/>
      <c r="AU482" s="108"/>
      <c r="AV482" s="108"/>
      <c r="AW482" s="108"/>
      <c r="AX482" s="108"/>
      <c r="AY482" s="108"/>
      <c r="AZ482" s="108"/>
      <c r="BA482" s="108"/>
      <c r="BB482" s="108"/>
      <c r="BC482" s="108"/>
      <c r="BD482" s="108"/>
      <c r="BE482" s="108"/>
      <c r="BF482" s="108"/>
      <c r="BG482" s="108"/>
      <c r="BH482" s="108"/>
      <c r="BI482" s="108"/>
      <c r="BJ482" s="108"/>
      <c r="BK482" s="108"/>
      <c r="BL482" s="108"/>
      <c r="BM482" s="108"/>
      <c r="BN482" s="108"/>
      <c r="BO482" s="108"/>
      <c r="BP482" s="108"/>
      <c r="BQ482" s="108"/>
      <c r="BR482" s="108"/>
      <c r="BS482" s="108"/>
      <c r="BT482" s="108"/>
      <c r="BU482" s="108"/>
      <c r="BV482" s="108"/>
      <c r="BW482" s="108"/>
      <c r="BX482" s="108"/>
      <c r="BY482" s="108"/>
      <c r="BZ482" s="108"/>
      <c r="CA482" s="108"/>
      <c r="CB482" s="108"/>
      <c r="CC482" s="108"/>
      <c r="CD482" s="108"/>
      <c r="CE482" s="108"/>
      <c r="CF482" s="108"/>
      <c r="CG482" s="108"/>
      <c r="CH482" s="108"/>
      <c r="CI482" s="108"/>
      <c r="CJ482" s="108"/>
      <c r="CK482" s="108"/>
      <c r="CL482" s="108"/>
      <c r="CM482" s="108"/>
      <c r="CN482" s="110"/>
      <c r="CO482" s="111"/>
      <c r="CP482" s="110"/>
      <c r="CQ482" s="111"/>
      <c r="CR482" s="110"/>
      <c r="CS482" s="111"/>
      <c r="CT482" s="112">
        <f t="shared" si="124"/>
        <v>0</v>
      </c>
      <c r="CU482" s="113"/>
      <c r="CV482" s="114"/>
      <c r="CW482" s="115"/>
      <c r="CX482" s="116"/>
      <c r="CY482" s="117"/>
      <c r="CZ482" s="116"/>
      <c r="DA482" s="113"/>
      <c r="DB482" s="114"/>
      <c r="DC482" s="64"/>
      <c r="DD482" s="118"/>
    </row>
    <row r="483" spans="1:108" ht="22.5" outlineLevel="2">
      <c r="A483" s="178">
        <v>40447</v>
      </c>
      <c r="B483" s="164" t="s">
        <v>533</v>
      </c>
      <c r="C483" s="164" t="s">
        <v>2217</v>
      </c>
      <c r="D483" s="166" t="s">
        <v>435</v>
      </c>
      <c r="E483" s="163"/>
      <c r="F483" s="105"/>
      <c r="G483" s="105"/>
      <c r="H483" s="105">
        <f>27*5</f>
        <v>135</v>
      </c>
      <c r="I483" s="105">
        <v>27</v>
      </c>
      <c r="J483" s="105"/>
      <c r="K483" s="105">
        <v>27</v>
      </c>
      <c r="L483" s="105"/>
      <c r="M483" s="105"/>
      <c r="N483" s="105"/>
      <c r="O483" s="105"/>
      <c r="P483" s="105"/>
      <c r="Q483" s="105"/>
      <c r="R483" s="105"/>
      <c r="S483" s="105"/>
      <c r="T483" s="106"/>
      <c r="U483" s="130"/>
      <c r="V483" s="1"/>
      <c r="W483" s="68">
        <f t="shared" si="119"/>
        <v>0</v>
      </c>
      <c r="X483" s="68">
        <f t="shared" si="120"/>
        <v>0</v>
      </c>
      <c r="Y483" s="68">
        <f t="shared" si="121"/>
        <v>0</v>
      </c>
      <c r="Z483" s="68">
        <f t="shared" si="122"/>
        <v>0</v>
      </c>
      <c r="AA483" s="68"/>
      <c r="AB483" s="68">
        <v>0</v>
      </c>
      <c r="AC483" s="69">
        <f t="shared" si="123"/>
        <v>0</v>
      </c>
      <c r="AD483" s="70">
        <v>15450000</v>
      </c>
      <c r="AE483" s="63">
        <v>40494</v>
      </c>
      <c r="AF483" s="72"/>
      <c r="AG483" s="63" t="s">
        <v>954</v>
      </c>
      <c r="AH483" s="23" t="s">
        <v>955</v>
      </c>
      <c r="AI483" s="60"/>
      <c r="AJ483" s="124" t="s">
        <v>1476</v>
      </c>
      <c r="AK483" s="121"/>
      <c r="AL483" s="107"/>
      <c r="AM483" s="108"/>
      <c r="AN483" s="109"/>
      <c r="AO483" s="108"/>
      <c r="AP483" s="108"/>
      <c r="AQ483" s="108"/>
      <c r="AR483" s="108"/>
      <c r="AS483" s="108"/>
      <c r="AT483" s="108"/>
      <c r="AU483" s="108"/>
      <c r="AV483" s="108"/>
      <c r="AW483" s="108"/>
      <c r="AX483" s="108"/>
      <c r="AY483" s="108"/>
      <c r="AZ483" s="108"/>
      <c r="BA483" s="108"/>
      <c r="BB483" s="108"/>
      <c r="BC483" s="108"/>
      <c r="BD483" s="108"/>
      <c r="BE483" s="108"/>
      <c r="BF483" s="108"/>
      <c r="BG483" s="108"/>
      <c r="BH483" s="108"/>
      <c r="BI483" s="108"/>
      <c r="BJ483" s="108"/>
      <c r="BK483" s="108"/>
      <c r="BL483" s="108"/>
      <c r="BM483" s="108"/>
      <c r="BN483" s="108"/>
      <c r="BO483" s="108"/>
      <c r="BP483" s="108"/>
      <c r="BQ483" s="108"/>
      <c r="BR483" s="108"/>
      <c r="BS483" s="108"/>
      <c r="BT483" s="108"/>
      <c r="BU483" s="108"/>
      <c r="BV483" s="108"/>
      <c r="BW483" s="108"/>
      <c r="BX483" s="108"/>
      <c r="BY483" s="108"/>
      <c r="BZ483" s="108"/>
      <c r="CA483" s="108"/>
      <c r="CB483" s="108"/>
      <c r="CC483" s="108"/>
      <c r="CD483" s="108"/>
      <c r="CE483" s="108"/>
      <c r="CF483" s="108"/>
      <c r="CG483" s="108"/>
      <c r="CH483" s="108"/>
      <c r="CI483" s="108"/>
      <c r="CJ483" s="108"/>
      <c r="CK483" s="108"/>
      <c r="CL483" s="108"/>
      <c r="CM483" s="108"/>
      <c r="CN483" s="110"/>
      <c r="CO483" s="111"/>
      <c r="CP483" s="110"/>
      <c r="CQ483" s="111"/>
      <c r="CR483" s="110"/>
      <c r="CS483" s="111"/>
      <c r="CT483" s="112">
        <f t="shared" si="124"/>
        <v>0</v>
      </c>
      <c r="CU483" s="113"/>
      <c r="CV483" s="114"/>
      <c r="CW483" s="115"/>
      <c r="CX483" s="116"/>
      <c r="CY483" s="117"/>
      <c r="CZ483" s="116"/>
      <c r="DA483" s="113"/>
      <c r="DB483" s="114"/>
      <c r="DC483" s="64"/>
      <c r="DD483" s="118"/>
    </row>
    <row r="484" spans="1:108" ht="60" outlineLevel="2">
      <c r="A484" s="178">
        <v>40447</v>
      </c>
      <c r="B484" s="164" t="s">
        <v>533</v>
      </c>
      <c r="C484" s="164" t="s">
        <v>1299</v>
      </c>
      <c r="D484" s="166" t="s">
        <v>435</v>
      </c>
      <c r="E484" s="163"/>
      <c r="F484" s="105">
        <v>1</v>
      </c>
      <c r="G484" s="105"/>
      <c r="H484" s="105">
        <f>83*5</f>
        <v>415</v>
      </c>
      <c r="I484" s="105">
        <v>83</v>
      </c>
      <c r="J484" s="105"/>
      <c r="K484" s="105">
        <v>83</v>
      </c>
      <c r="L484" s="105"/>
      <c r="M484" s="105"/>
      <c r="N484" s="105"/>
      <c r="O484" s="105"/>
      <c r="P484" s="105"/>
      <c r="Q484" s="105"/>
      <c r="R484" s="105">
        <v>2</v>
      </c>
      <c r="S484" s="105"/>
      <c r="T484" s="106"/>
      <c r="U484" s="130"/>
      <c r="V484" s="1">
        <v>40508</v>
      </c>
      <c r="W484" s="68">
        <f t="shared" si="119"/>
        <v>3920000</v>
      </c>
      <c r="X484" s="68">
        <f t="shared" si="120"/>
        <v>0</v>
      </c>
      <c r="Y484" s="68">
        <f>620*18096+2500*104.4+6*110571.2</f>
        <v>12143947.199999999</v>
      </c>
      <c r="Z484" s="68">
        <f t="shared" si="122"/>
        <v>0</v>
      </c>
      <c r="AA484" s="68"/>
      <c r="AB484" s="68">
        <v>0</v>
      </c>
      <c r="AC484" s="69">
        <f t="shared" si="123"/>
        <v>16063947.199999999</v>
      </c>
      <c r="AD484" s="70">
        <v>16745000</v>
      </c>
      <c r="AE484" s="63">
        <v>40441</v>
      </c>
      <c r="AF484" s="72">
        <v>52825</v>
      </c>
      <c r="AG484" s="63" t="s">
        <v>954</v>
      </c>
      <c r="AH484" s="23" t="s">
        <v>955</v>
      </c>
      <c r="AI484" s="75" t="s">
        <v>1965</v>
      </c>
      <c r="AJ484" s="133" t="s">
        <v>415</v>
      </c>
      <c r="AK484" s="121" t="s">
        <v>1966</v>
      </c>
      <c r="AL484" s="107"/>
      <c r="AM484" s="108"/>
      <c r="AN484" s="109"/>
      <c r="AO484" s="108"/>
      <c r="AP484" s="108"/>
      <c r="AQ484" s="108"/>
      <c r="AR484" s="108"/>
      <c r="AS484" s="108"/>
      <c r="AT484" s="108"/>
      <c r="AU484" s="108"/>
      <c r="AV484" s="108"/>
      <c r="AW484" s="108"/>
      <c r="AX484" s="108">
        <v>70</v>
      </c>
      <c r="AY484" s="108">
        <f>70*56000</f>
        <v>3920000</v>
      </c>
      <c r="AZ484" s="108"/>
      <c r="BA484" s="108"/>
      <c r="BB484" s="108"/>
      <c r="BC484" s="108"/>
      <c r="BD484" s="108"/>
      <c r="BE484" s="108"/>
      <c r="BF484" s="108"/>
      <c r="BG484" s="108"/>
      <c r="BH484" s="108"/>
      <c r="BI484" s="108"/>
      <c r="BJ484" s="108"/>
      <c r="BK484" s="108"/>
      <c r="BL484" s="108"/>
      <c r="BM484" s="108"/>
      <c r="BN484" s="108"/>
      <c r="BO484" s="108"/>
      <c r="BP484" s="108"/>
      <c r="BQ484" s="108"/>
      <c r="BR484" s="108"/>
      <c r="BS484" s="108"/>
      <c r="BT484" s="108"/>
      <c r="BU484" s="108"/>
      <c r="BV484" s="108"/>
      <c r="BW484" s="108"/>
      <c r="BX484" s="108"/>
      <c r="BY484" s="108"/>
      <c r="BZ484" s="108"/>
      <c r="CA484" s="108"/>
      <c r="CB484" s="108"/>
      <c r="CC484" s="108"/>
      <c r="CD484" s="108"/>
      <c r="CE484" s="108"/>
      <c r="CF484" s="108"/>
      <c r="CG484" s="108"/>
      <c r="CH484" s="108"/>
      <c r="CI484" s="108"/>
      <c r="CJ484" s="108"/>
      <c r="CK484" s="108"/>
      <c r="CL484" s="108"/>
      <c r="CM484" s="108"/>
      <c r="CN484" s="110"/>
      <c r="CO484" s="111"/>
      <c r="CP484" s="110"/>
      <c r="CQ484" s="111"/>
      <c r="CR484" s="110"/>
      <c r="CS484" s="111"/>
      <c r="CT484" s="112">
        <f t="shared" si="124"/>
        <v>3920000</v>
      </c>
      <c r="CU484" s="113"/>
      <c r="CV484" s="114"/>
      <c r="CW484" s="115"/>
      <c r="CX484" s="116"/>
      <c r="CY484" s="117"/>
      <c r="CZ484" s="116"/>
      <c r="DA484" s="113"/>
      <c r="DB484" s="114"/>
      <c r="DC484" s="64"/>
      <c r="DD484" s="118"/>
    </row>
    <row r="485" spans="1:108" ht="36" outlineLevel="2">
      <c r="A485" s="178">
        <v>40460</v>
      </c>
      <c r="B485" s="164" t="s">
        <v>533</v>
      </c>
      <c r="C485" s="164" t="s">
        <v>2218</v>
      </c>
      <c r="D485" s="166" t="s">
        <v>435</v>
      </c>
      <c r="E485" s="163"/>
      <c r="F485" s="105"/>
      <c r="G485" s="105"/>
      <c r="H485" s="105">
        <f>71*5</f>
        <v>355</v>
      </c>
      <c r="I485" s="105">
        <v>71</v>
      </c>
      <c r="J485" s="105"/>
      <c r="K485" s="105">
        <v>71</v>
      </c>
      <c r="L485" s="105"/>
      <c r="M485" s="105"/>
      <c r="N485" s="105"/>
      <c r="O485" s="105"/>
      <c r="P485" s="105"/>
      <c r="Q485" s="105"/>
      <c r="R485" s="105"/>
      <c r="S485" s="105"/>
      <c r="T485" s="106"/>
      <c r="U485" s="130"/>
      <c r="V485" s="1"/>
      <c r="W485" s="68">
        <f t="shared" si="119"/>
        <v>0</v>
      </c>
      <c r="X485" s="68">
        <f t="shared" si="120"/>
        <v>0</v>
      </c>
      <c r="Y485" s="68">
        <f>CZ485+DB485</f>
        <v>0</v>
      </c>
      <c r="Z485" s="68">
        <f t="shared" si="122"/>
        <v>0</v>
      </c>
      <c r="AA485" s="68"/>
      <c r="AB485" s="68">
        <v>0</v>
      </c>
      <c r="AC485" s="69">
        <f t="shared" si="123"/>
        <v>0</v>
      </c>
      <c r="AD485" s="70">
        <v>48762000</v>
      </c>
      <c r="AE485" s="63">
        <v>40494</v>
      </c>
      <c r="AF485" s="72"/>
      <c r="AG485" s="63" t="s">
        <v>954</v>
      </c>
      <c r="AH485" s="23" t="s">
        <v>955</v>
      </c>
      <c r="AI485" s="60"/>
      <c r="AJ485" s="124" t="s">
        <v>1476</v>
      </c>
      <c r="AK485" s="121" t="s">
        <v>560</v>
      </c>
      <c r="AL485" s="107"/>
      <c r="AM485" s="108"/>
      <c r="AN485" s="109"/>
      <c r="AO485" s="108"/>
      <c r="AP485" s="108"/>
      <c r="AQ485" s="108"/>
      <c r="AR485" s="108"/>
      <c r="AS485" s="108"/>
      <c r="AT485" s="108"/>
      <c r="AU485" s="108"/>
      <c r="AV485" s="108"/>
      <c r="AW485" s="108"/>
      <c r="AX485" s="108"/>
      <c r="AY485" s="108"/>
      <c r="AZ485" s="108"/>
      <c r="BA485" s="108"/>
      <c r="BB485" s="108"/>
      <c r="BC485" s="108"/>
      <c r="BD485" s="108"/>
      <c r="BE485" s="108"/>
      <c r="BF485" s="108"/>
      <c r="BG485" s="108"/>
      <c r="BH485" s="108"/>
      <c r="BI485" s="108"/>
      <c r="BJ485" s="108"/>
      <c r="BK485" s="108"/>
      <c r="BL485" s="108"/>
      <c r="BM485" s="108"/>
      <c r="BN485" s="108"/>
      <c r="BO485" s="108"/>
      <c r="BP485" s="108"/>
      <c r="BQ485" s="108"/>
      <c r="BR485" s="108"/>
      <c r="BS485" s="108"/>
      <c r="BT485" s="108"/>
      <c r="BU485" s="108"/>
      <c r="BV485" s="108"/>
      <c r="BW485" s="108"/>
      <c r="BX485" s="108"/>
      <c r="BY485" s="108"/>
      <c r="BZ485" s="108"/>
      <c r="CA485" s="108"/>
      <c r="CB485" s="108"/>
      <c r="CC485" s="108"/>
      <c r="CD485" s="108"/>
      <c r="CE485" s="108"/>
      <c r="CF485" s="108"/>
      <c r="CG485" s="108"/>
      <c r="CH485" s="108"/>
      <c r="CI485" s="108"/>
      <c r="CJ485" s="108"/>
      <c r="CK485" s="108"/>
      <c r="CL485" s="108"/>
      <c r="CM485" s="108"/>
      <c r="CN485" s="110"/>
      <c r="CO485" s="111"/>
      <c r="CP485" s="110"/>
      <c r="CQ485" s="111"/>
      <c r="CR485" s="110"/>
      <c r="CS485" s="111"/>
      <c r="CT485" s="112">
        <f t="shared" si="124"/>
        <v>0</v>
      </c>
      <c r="CU485" s="113"/>
      <c r="CV485" s="114"/>
      <c r="CW485" s="115"/>
      <c r="CX485" s="116"/>
      <c r="CY485" s="117"/>
      <c r="CZ485" s="116"/>
      <c r="DA485" s="113"/>
      <c r="DB485" s="114"/>
      <c r="DC485" s="64"/>
      <c r="DD485" s="118"/>
    </row>
    <row r="486" spans="1:108" outlineLevel="1">
      <c r="A486" s="178"/>
      <c r="B486" s="192" t="s">
        <v>2445</v>
      </c>
      <c r="C486" s="164"/>
      <c r="D486" s="166"/>
      <c r="E486" s="163">
        <f t="shared" ref="E486:T486" si="125">SUBTOTAL(9,E472:E485)</f>
        <v>1</v>
      </c>
      <c r="F486" s="105">
        <f t="shared" si="125"/>
        <v>9</v>
      </c>
      <c r="G486" s="105">
        <f t="shared" si="125"/>
        <v>0</v>
      </c>
      <c r="H486" s="105">
        <f t="shared" si="125"/>
        <v>15391</v>
      </c>
      <c r="I486" s="105">
        <f t="shared" si="125"/>
        <v>3922</v>
      </c>
      <c r="J486" s="105">
        <f t="shared" si="125"/>
        <v>84</v>
      </c>
      <c r="K486" s="105">
        <f t="shared" si="125"/>
        <v>3838</v>
      </c>
      <c r="L486" s="105">
        <f t="shared" si="125"/>
        <v>0</v>
      </c>
      <c r="M486" s="105">
        <f t="shared" si="125"/>
        <v>1</v>
      </c>
      <c r="N486" s="105">
        <f t="shared" si="125"/>
        <v>0</v>
      </c>
      <c r="O486" s="105">
        <f t="shared" si="125"/>
        <v>0</v>
      </c>
      <c r="P486" s="105">
        <f t="shared" si="125"/>
        <v>0</v>
      </c>
      <c r="Q486" s="105">
        <f t="shared" si="125"/>
        <v>0</v>
      </c>
      <c r="R486" s="105">
        <f t="shared" si="125"/>
        <v>2</v>
      </c>
      <c r="S486" s="105">
        <f t="shared" si="125"/>
        <v>0</v>
      </c>
      <c r="T486" s="106">
        <f t="shared" si="125"/>
        <v>122.5</v>
      </c>
      <c r="U486" s="130"/>
      <c r="V486" s="1"/>
      <c r="W486" s="68">
        <f t="shared" ref="W486:AD486" si="126">SUBTOTAL(9,W472:W485)</f>
        <v>493563220</v>
      </c>
      <c r="X486" s="68">
        <f t="shared" si="126"/>
        <v>260950000</v>
      </c>
      <c r="Y486" s="68">
        <f t="shared" si="126"/>
        <v>12143947.199999999</v>
      </c>
      <c r="Z486" s="68">
        <f t="shared" si="126"/>
        <v>0</v>
      </c>
      <c r="AA486" s="68">
        <f t="shared" si="126"/>
        <v>160624852</v>
      </c>
      <c r="AB486" s="68">
        <f t="shared" si="126"/>
        <v>194373600</v>
      </c>
      <c r="AC486" s="69">
        <f t="shared" si="126"/>
        <v>1121655619.2</v>
      </c>
      <c r="AD486" s="70">
        <f t="shared" si="126"/>
        <v>80957000</v>
      </c>
      <c r="AE486" s="63"/>
      <c r="AF486" s="72"/>
      <c r="AG486" s="63"/>
      <c r="AH486" s="23"/>
      <c r="AI486" s="60"/>
      <c r="AJ486" s="124"/>
      <c r="AK486" s="121"/>
      <c r="AL486" s="107"/>
      <c r="AM486" s="108"/>
      <c r="AN486" s="109"/>
      <c r="AO486" s="108"/>
      <c r="AP486" s="108"/>
      <c r="AQ486" s="108"/>
      <c r="AR486" s="108"/>
      <c r="AS486" s="108"/>
      <c r="AT486" s="108"/>
      <c r="AU486" s="108"/>
      <c r="AV486" s="108"/>
      <c r="AW486" s="108"/>
      <c r="AX486" s="108"/>
      <c r="AY486" s="108"/>
      <c r="AZ486" s="108"/>
      <c r="BA486" s="108"/>
      <c r="BB486" s="108"/>
      <c r="BC486" s="108"/>
      <c r="BD486" s="108"/>
      <c r="BE486" s="108"/>
      <c r="BF486" s="108"/>
      <c r="BG486" s="108"/>
      <c r="BH486" s="108"/>
      <c r="BI486" s="108"/>
      <c r="BJ486" s="108"/>
      <c r="BK486" s="108"/>
      <c r="BL486" s="108"/>
      <c r="BM486" s="108"/>
      <c r="BN486" s="108"/>
      <c r="BO486" s="108"/>
      <c r="BP486" s="108"/>
      <c r="BQ486" s="108"/>
      <c r="BR486" s="108"/>
      <c r="BS486" s="108"/>
      <c r="BT486" s="108"/>
      <c r="BU486" s="108"/>
      <c r="BV486" s="108"/>
      <c r="BW486" s="108"/>
      <c r="BX486" s="108"/>
      <c r="BY486" s="108"/>
      <c r="BZ486" s="108"/>
      <c r="CA486" s="108"/>
      <c r="CB486" s="108"/>
      <c r="CC486" s="108"/>
      <c r="CD486" s="108"/>
      <c r="CE486" s="108"/>
      <c r="CF486" s="108"/>
      <c r="CG486" s="108"/>
      <c r="CH486" s="108"/>
      <c r="CI486" s="108"/>
      <c r="CJ486" s="108"/>
      <c r="CK486" s="108"/>
      <c r="CL486" s="108"/>
      <c r="CM486" s="108"/>
      <c r="CN486" s="110"/>
      <c r="CO486" s="111"/>
      <c r="CP486" s="110"/>
      <c r="CQ486" s="111"/>
      <c r="CR486" s="110"/>
      <c r="CS486" s="111"/>
      <c r="CT486" s="112"/>
      <c r="CU486" s="113"/>
      <c r="CV486" s="114"/>
      <c r="CW486" s="115"/>
      <c r="CX486" s="116"/>
      <c r="CY486" s="117"/>
      <c r="CZ486" s="116"/>
      <c r="DA486" s="113"/>
      <c r="DB486" s="114"/>
      <c r="DC486" s="64"/>
      <c r="DD486" s="118"/>
    </row>
    <row r="487" spans="1:108" ht="24" outlineLevel="2">
      <c r="A487" s="178">
        <v>40275</v>
      </c>
      <c r="B487" s="82" t="s">
        <v>961</v>
      </c>
      <c r="C487" s="82" t="s">
        <v>931</v>
      </c>
      <c r="D487" s="165" t="s">
        <v>1262</v>
      </c>
      <c r="E487" s="167"/>
      <c r="F487" s="66"/>
      <c r="G487" s="66"/>
      <c r="H487" s="66"/>
      <c r="I487" s="66"/>
      <c r="J487" s="66"/>
      <c r="K487" s="66"/>
      <c r="L487" s="66">
        <v>1</v>
      </c>
      <c r="M487" s="66"/>
      <c r="N487" s="66"/>
      <c r="O487" s="66"/>
      <c r="P487" s="66"/>
      <c r="Q487" s="66"/>
      <c r="R487" s="66"/>
      <c r="S487" s="66"/>
      <c r="T487" s="67"/>
      <c r="U487" s="151"/>
      <c r="V487" s="1"/>
      <c r="W487" s="68">
        <f t="shared" ref="W487:W507" si="127">CT487</f>
        <v>0</v>
      </c>
      <c r="X487" s="68">
        <f t="shared" ref="X487:X507" si="128">CX487</f>
        <v>0</v>
      </c>
      <c r="Y487" s="68">
        <f t="shared" ref="Y487:Y507" si="129">CZ487+DB487</f>
        <v>0</v>
      </c>
      <c r="Z487" s="68">
        <f t="shared" ref="Z487:Z507" si="130">CV487</f>
        <v>0</v>
      </c>
      <c r="AA487" s="68"/>
      <c r="AB487" s="68">
        <v>0</v>
      </c>
      <c r="AC487" s="69">
        <f t="shared" ref="AC487:AC507" si="131">W487+X487+Y487+Z487+AA487+AB487</f>
        <v>0</v>
      </c>
      <c r="AD487" s="70">
        <v>0</v>
      </c>
      <c r="AE487" s="63">
        <v>40277</v>
      </c>
      <c r="AF487" s="72"/>
      <c r="AG487" s="63" t="s">
        <v>938</v>
      </c>
      <c r="AH487" s="23" t="s">
        <v>939</v>
      </c>
      <c r="AI487" s="60"/>
      <c r="AJ487" s="133" t="s">
        <v>1608</v>
      </c>
      <c r="AK487" s="73" t="s">
        <v>932</v>
      </c>
      <c r="AL487" s="3"/>
      <c r="AM487" s="4"/>
      <c r="AN487" s="5"/>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6"/>
      <c r="CO487" s="7"/>
      <c r="CP487" s="6"/>
      <c r="CQ487" s="7"/>
      <c r="CR487" s="6"/>
      <c r="CS487" s="7"/>
      <c r="CT487" s="8">
        <f t="shared" ref="CT487:CT507" si="132">AM487+AO487+AQ487+AS487+AU487+AW487+AY487+BA487+BC487+BE487+BG487+BI487+BK487+BM487+BO487+BQ487+BS487+BU487+BW487+BY487+CA487+CC487+CE487+CG487+CI487+CK487+CM487+CO487+CQ487+CS487</f>
        <v>0</v>
      </c>
      <c r="CU487" s="9"/>
      <c r="CV487" s="10"/>
      <c r="CW487" s="11"/>
      <c r="CX487" s="12"/>
      <c r="CY487" s="26"/>
      <c r="CZ487" s="12"/>
      <c r="DA487" s="9"/>
      <c r="DB487" s="10"/>
      <c r="DC487" s="64"/>
    </row>
    <row r="488" spans="1:108" ht="36" outlineLevel="2">
      <c r="A488" s="178">
        <v>40309</v>
      </c>
      <c r="B488" s="82" t="s">
        <v>961</v>
      </c>
      <c r="C488" s="82" t="s">
        <v>572</v>
      </c>
      <c r="D488" s="165" t="s">
        <v>1262</v>
      </c>
      <c r="E488" s="167"/>
      <c r="F488" s="66"/>
      <c r="G488" s="66"/>
      <c r="H488" s="66">
        <v>456</v>
      </c>
      <c r="I488" s="66">
        <v>114</v>
      </c>
      <c r="J488" s="66"/>
      <c r="K488" s="66">
        <v>114</v>
      </c>
      <c r="L488" s="66"/>
      <c r="M488" s="66"/>
      <c r="N488" s="66"/>
      <c r="O488" s="66"/>
      <c r="P488" s="66"/>
      <c r="Q488" s="66"/>
      <c r="R488" s="66"/>
      <c r="S488" s="66"/>
      <c r="T488" s="67"/>
      <c r="U488" s="151"/>
      <c r="V488" s="1"/>
      <c r="W488" s="68">
        <f t="shared" si="127"/>
        <v>0</v>
      </c>
      <c r="X488" s="68">
        <f t="shared" si="128"/>
        <v>0</v>
      </c>
      <c r="Y488" s="68">
        <f t="shared" si="129"/>
        <v>0</v>
      </c>
      <c r="Z488" s="68">
        <f t="shared" si="130"/>
        <v>0</v>
      </c>
      <c r="AA488" s="68"/>
      <c r="AB488" s="68">
        <v>0</v>
      </c>
      <c r="AC488" s="69">
        <f t="shared" si="131"/>
        <v>0</v>
      </c>
      <c r="AD488" s="70">
        <v>0</v>
      </c>
      <c r="AE488" s="63">
        <v>40312</v>
      </c>
      <c r="AF488" s="72"/>
      <c r="AG488" s="63" t="s">
        <v>938</v>
      </c>
      <c r="AH488" s="23" t="s">
        <v>939</v>
      </c>
      <c r="AI488" s="60"/>
      <c r="AJ488" s="133" t="s">
        <v>1608</v>
      </c>
      <c r="AK488" s="73" t="s">
        <v>573</v>
      </c>
      <c r="AL488" s="3"/>
      <c r="AM488" s="4"/>
      <c r="AN488" s="5"/>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6"/>
      <c r="CO488" s="7"/>
      <c r="CP488" s="6"/>
      <c r="CQ488" s="7"/>
      <c r="CR488" s="6"/>
      <c r="CS488" s="7"/>
      <c r="CT488" s="8">
        <f t="shared" si="132"/>
        <v>0</v>
      </c>
      <c r="CU488" s="9"/>
      <c r="CV488" s="10"/>
      <c r="CW488" s="11"/>
      <c r="CX488" s="12"/>
      <c r="CY488" s="26"/>
      <c r="CZ488" s="12"/>
      <c r="DA488" s="9"/>
      <c r="DB488" s="10"/>
      <c r="DC488" s="64"/>
    </row>
    <row r="489" spans="1:108" ht="24" outlineLevel="2">
      <c r="A489" s="178">
        <v>40309</v>
      </c>
      <c r="B489" s="82" t="s">
        <v>961</v>
      </c>
      <c r="C489" s="82" t="s">
        <v>572</v>
      </c>
      <c r="D489" s="165" t="s">
        <v>1262</v>
      </c>
      <c r="E489" s="167"/>
      <c r="F489" s="66"/>
      <c r="G489" s="66"/>
      <c r="H489" s="66">
        <v>45</v>
      </c>
      <c r="I489" s="66">
        <v>9</v>
      </c>
      <c r="J489" s="66"/>
      <c r="K489" s="66">
        <v>9</v>
      </c>
      <c r="L489" s="66"/>
      <c r="M489" s="66"/>
      <c r="N489" s="66"/>
      <c r="O489" s="66"/>
      <c r="P489" s="66"/>
      <c r="Q489" s="66"/>
      <c r="R489" s="66"/>
      <c r="S489" s="66"/>
      <c r="T489" s="67"/>
      <c r="U489" s="151"/>
      <c r="V489" s="1"/>
      <c r="W489" s="68">
        <f t="shared" si="127"/>
        <v>0</v>
      </c>
      <c r="X489" s="68">
        <f t="shared" si="128"/>
        <v>0</v>
      </c>
      <c r="Y489" s="68">
        <f t="shared" si="129"/>
        <v>0</v>
      </c>
      <c r="Z489" s="68">
        <f t="shared" si="130"/>
        <v>0</v>
      </c>
      <c r="AA489" s="68"/>
      <c r="AB489" s="68">
        <v>0</v>
      </c>
      <c r="AC489" s="69">
        <f t="shared" si="131"/>
        <v>0</v>
      </c>
      <c r="AD489" s="70">
        <v>0</v>
      </c>
      <c r="AE489" s="63">
        <v>40312</v>
      </c>
      <c r="AF489" s="72"/>
      <c r="AG489" s="63" t="s">
        <v>938</v>
      </c>
      <c r="AH489" s="23" t="s">
        <v>939</v>
      </c>
      <c r="AI489" s="60"/>
      <c r="AJ489" s="133" t="s">
        <v>1608</v>
      </c>
      <c r="AK489" s="73" t="s">
        <v>2382</v>
      </c>
      <c r="AL489" s="3"/>
      <c r="AM489" s="4"/>
      <c r="AN489" s="5"/>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6"/>
      <c r="CO489" s="7"/>
      <c r="CP489" s="6"/>
      <c r="CQ489" s="7"/>
      <c r="CR489" s="6"/>
      <c r="CS489" s="7"/>
      <c r="CT489" s="8">
        <f t="shared" si="132"/>
        <v>0</v>
      </c>
      <c r="CU489" s="9"/>
      <c r="CV489" s="10"/>
      <c r="CW489" s="11"/>
      <c r="CX489" s="12"/>
      <c r="CY489" s="26"/>
      <c r="CZ489" s="12"/>
      <c r="DA489" s="9"/>
      <c r="DB489" s="10"/>
      <c r="DC489" s="64"/>
    </row>
    <row r="490" spans="1:108" ht="36" outlineLevel="2">
      <c r="A490" s="178">
        <v>40309</v>
      </c>
      <c r="B490" s="82" t="s">
        <v>961</v>
      </c>
      <c r="C490" s="82" t="s">
        <v>570</v>
      </c>
      <c r="D490" s="165" t="s">
        <v>1262</v>
      </c>
      <c r="E490" s="167"/>
      <c r="F490" s="66"/>
      <c r="G490" s="66"/>
      <c r="H490" s="66">
        <f>60*5</f>
        <v>300</v>
      </c>
      <c r="I490" s="66">
        <v>60</v>
      </c>
      <c r="J490" s="66"/>
      <c r="K490" s="66"/>
      <c r="L490" s="66"/>
      <c r="M490" s="66"/>
      <c r="N490" s="66"/>
      <c r="O490" s="66"/>
      <c r="P490" s="66"/>
      <c r="Q490" s="66"/>
      <c r="R490" s="66"/>
      <c r="S490" s="66"/>
      <c r="T490" s="67"/>
      <c r="U490" s="151" t="s">
        <v>417</v>
      </c>
      <c r="V490" s="1"/>
      <c r="W490" s="68">
        <f t="shared" si="127"/>
        <v>0</v>
      </c>
      <c r="X490" s="68">
        <f t="shared" si="128"/>
        <v>0</v>
      </c>
      <c r="Y490" s="68">
        <f t="shared" si="129"/>
        <v>0</v>
      </c>
      <c r="Z490" s="68">
        <f t="shared" si="130"/>
        <v>0</v>
      </c>
      <c r="AA490" s="68"/>
      <c r="AB490" s="68">
        <v>0</v>
      </c>
      <c r="AC490" s="69">
        <f t="shared" si="131"/>
        <v>0</v>
      </c>
      <c r="AD490" s="70">
        <v>0</v>
      </c>
      <c r="AE490" s="63">
        <v>40312</v>
      </c>
      <c r="AF490" s="72"/>
      <c r="AG490" s="63" t="s">
        <v>938</v>
      </c>
      <c r="AH490" s="23" t="s">
        <v>939</v>
      </c>
      <c r="AI490" s="60"/>
      <c r="AJ490" s="133" t="s">
        <v>1608</v>
      </c>
      <c r="AK490" s="73" t="s">
        <v>571</v>
      </c>
      <c r="AL490" s="3"/>
      <c r="AM490" s="4"/>
      <c r="AN490" s="5"/>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6"/>
      <c r="CO490" s="7"/>
      <c r="CP490" s="6"/>
      <c r="CQ490" s="7"/>
      <c r="CR490" s="6"/>
      <c r="CS490" s="7"/>
      <c r="CT490" s="8">
        <f t="shared" si="132"/>
        <v>0</v>
      </c>
      <c r="CU490" s="9"/>
      <c r="CV490" s="10"/>
      <c r="CW490" s="11"/>
      <c r="CX490" s="12"/>
      <c r="CY490" s="26"/>
      <c r="CZ490" s="12"/>
      <c r="DA490" s="9"/>
      <c r="DB490" s="10"/>
      <c r="DC490" s="64"/>
    </row>
    <row r="491" spans="1:108" ht="24" outlineLevel="2">
      <c r="A491" s="178">
        <v>40310</v>
      </c>
      <c r="B491" s="82" t="s">
        <v>961</v>
      </c>
      <c r="C491" s="82" t="s">
        <v>2303</v>
      </c>
      <c r="D491" s="165" t="s">
        <v>1262</v>
      </c>
      <c r="E491" s="167"/>
      <c r="F491" s="66"/>
      <c r="G491" s="66"/>
      <c r="H491" s="66">
        <v>25</v>
      </c>
      <c r="I491" s="66">
        <v>5</v>
      </c>
      <c r="J491" s="66"/>
      <c r="K491" s="66">
        <v>5</v>
      </c>
      <c r="L491" s="66"/>
      <c r="M491" s="66"/>
      <c r="N491" s="66"/>
      <c r="O491" s="66"/>
      <c r="P491" s="66"/>
      <c r="Q491" s="66"/>
      <c r="R491" s="66"/>
      <c r="S491" s="66"/>
      <c r="T491" s="67"/>
      <c r="U491" s="151"/>
      <c r="V491" s="1"/>
      <c r="W491" s="68">
        <f t="shared" si="127"/>
        <v>0</v>
      </c>
      <c r="X491" s="68">
        <f t="shared" si="128"/>
        <v>0</v>
      </c>
      <c r="Y491" s="68">
        <f t="shared" si="129"/>
        <v>0</v>
      </c>
      <c r="Z491" s="68">
        <f t="shared" si="130"/>
        <v>0</v>
      </c>
      <c r="AA491" s="68"/>
      <c r="AB491" s="68">
        <v>0</v>
      </c>
      <c r="AC491" s="69">
        <f t="shared" si="131"/>
        <v>0</v>
      </c>
      <c r="AD491" s="70">
        <v>0</v>
      </c>
      <c r="AE491" s="63">
        <v>40312</v>
      </c>
      <c r="AF491" s="72"/>
      <c r="AG491" s="63" t="s">
        <v>938</v>
      </c>
      <c r="AH491" s="23" t="s">
        <v>939</v>
      </c>
      <c r="AI491" s="60"/>
      <c r="AJ491" s="133" t="s">
        <v>1608</v>
      </c>
      <c r="AK491" s="73" t="s">
        <v>576</v>
      </c>
      <c r="AL491" s="3"/>
      <c r="AM491" s="4"/>
      <c r="AN491" s="5"/>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6"/>
      <c r="CO491" s="7"/>
      <c r="CP491" s="6"/>
      <c r="CQ491" s="7"/>
      <c r="CR491" s="6"/>
      <c r="CS491" s="7"/>
      <c r="CT491" s="8">
        <f t="shared" si="132"/>
        <v>0</v>
      </c>
      <c r="CU491" s="9"/>
      <c r="CV491" s="10"/>
      <c r="CW491" s="11"/>
      <c r="CX491" s="12"/>
      <c r="CY491" s="26"/>
      <c r="CZ491" s="12"/>
      <c r="DA491" s="9"/>
      <c r="DB491" s="10"/>
      <c r="DC491" s="64"/>
    </row>
    <row r="492" spans="1:108" ht="24" outlineLevel="2">
      <c r="A492" s="178">
        <v>40310</v>
      </c>
      <c r="B492" s="82" t="s">
        <v>961</v>
      </c>
      <c r="C492" s="82" t="s">
        <v>574</v>
      </c>
      <c r="D492" s="165" t="s">
        <v>1262</v>
      </c>
      <c r="E492" s="167"/>
      <c r="F492" s="66"/>
      <c r="G492" s="66"/>
      <c r="H492" s="66">
        <v>5</v>
      </c>
      <c r="I492" s="66">
        <v>1</v>
      </c>
      <c r="J492" s="66"/>
      <c r="K492" s="66">
        <v>1</v>
      </c>
      <c r="L492" s="66"/>
      <c r="M492" s="66"/>
      <c r="N492" s="66"/>
      <c r="O492" s="66"/>
      <c r="P492" s="66"/>
      <c r="Q492" s="66"/>
      <c r="R492" s="66"/>
      <c r="S492" s="66"/>
      <c r="T492" s="67"/>
      <c r="U492" s="151"/>
      <c r="V492" s="1"/>
      <c r="W492" s="68">
        <f t="shared" si="127"/>
        <v>0</v>
      </c>
      <c r="X492" s="68">
        <f t="shared" si="128"/>
        <v>0</v>
      </c>
      <c r="Y492" s="68">
        <f t="shared" si="129"/>
        <v>0</v>
      </c>
      <c r="Z492" s="68">
        <f t="shared" si="130"/>
        <v>0</v>
      </c>
      <c r="AA492" s="68"/>
      <c r="AB492" s="68">
        <v>0</v>
      </c>
      <c r="AC492" s="69">
        <f t="shared" si="131"/>
        <v>0</v>
      </c>
      <c r="AD492" s="70">
        <v>0</v>
      </c>
      <c r="AE492" s="63">
        <v>40312</v>
      </c>
      <c r="AF492" s="72"/>
      <c r="AG492" s="63" t="s">
        <v>938</v>
      </c>
      <c r="AH492" s="23" t="s">
        <v>939</v>
      </c>
      <c r="AI492" s="60"/>
      <c r="AJ492" s="133" t="s">
        <v>1608</v>
      </c>
      <c r="AK492" s="73" t="s">
        <v>575</v>
      </c>
      <c r="AL492" s="3"/>
      <c r="AM492" s="4"/>
      <c r="AN492" s="5"/>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6"/>
      <c r="CO492" s="7"/>
      <c r="CP492" s="6"/>
      <c r="CQ492" s="7"/>
      <c r="CR492" s="6"/>
      <c r="CS492" s="7"/>
      <c r="CT492" s="8">
        <f t="shared" si="132"/>
        <v>0</v>
      </c>
      <c r="CU492" s="9"/>
      <c r="CV492" s="10"/>
      <c r="CW492" s="11"/>
      <c r="CX492" s="12"/>
      <c r="CY492" s="26"/>
      <c r="CZ492" s="12"/>
      <c r="DA492" s="9"/>
      <c r="DB492" s="10"/>
      <c r="DC492" s="64"/>
    </row>
    <row r="493" spans="1:108" ht="22.5" outlineLevel="2">
      <c r="A493" s="178">
        <v>40325</v>
      </c>
      <c r="B493" s="82" t="s">
        <v>961</v>
      </c>
      <c r="C493" s="82" t="s">
        <v>2303</v>
      </c>
      <c r="D493" s="165" t="s">
        <v>1262</v>
      </c>
      <c r="E493" s="167"/>
      <c r="F493" s="66"/>
      <c r="G493" s="66"/>
      <c r="H493" s="66">
        <v>25</v>
      </c>
      <c r="I493" s="66">
        <v>5</v>
      </c>
      <c r="J493" s="66"/>
      <c r="K493" s="66">
        <v>5</v>
      </c>
      <c r="L493" s="66"/>
      <c r="M493" s="66"/>
      <c r="N493" s="66"/>
      <c r="O493" s="66"/>
      <c r="P493" s="66"/>
      <c r="Q493" s="66"/>
      <c r="R493" s="66"/>
      <c r="S493" s="66"/>
      <c r="T493" s="67"/>
      <c r="U493" s="151"/>
      <c r="V493" s="1"/>
      <c r="W493" s="68">
        <f t="shared" si="127"/>
        <v>0</v>
      </c>
      <c r="X493" s="68">
        <f t="shared" si="128"/>
        <v>0</v>
      </c>
      <c r="Y493" s="68">
        <f t="shared" si="129"/>
        <v>0</v>
      </c>
      <c r="Z493" s="68">
        <f t="shared" si="130"/>
        <v>0</v>
      </c>
      <c r="AA493" s="68"/>
      <c r="AB493" s="68">
        <v>0</v>
      </c>
      <c r="AC493" s="69">
        <f t="shared" si="131"/>
        <v>0</v>
      </c>
      <c r="AD493" s="70">
        <v>0</v>
      </c>
      <c r="AE493" s="63">
        <v>40326</v>
      </c>
      <c r="AF493" s="72"/>
      <c r="AG493" s="63" t="s">
        <v>938</v>
      </c>
      <c r="AH493" s="23" t="s">
        <v>939</v>
      </c>
      <c r="AI493" s="60"/>
      <c r="AJ493" s="133" t="s">
        <v>1608</v>
      </c>
      <c r="AK493" s="73" t="s">
        <v>1096</v>
      </c>
      <c r="AL493" s="3"/>
      <c r="AM493" s="4"/>
      <c r="AN493" s="5"/>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6"/>
      <c r="CO493" s="7"/>
      <c r="CP493" s="6"/>
      <c r="CQ493" s="7"/>
      <c r="CR493" s="6"/>
      <c r="CS493" s="7"/>
      <c r="CT493" s="8">
        <f t="shared" si="132"/>
        <v>0</v>
      </c>
      <c r="CU493" s="9"/>
      <c r="CV493" s="10"/>
      <c r="CW493" s="11"/>
      <c r="CX493" s="12"/>
      <c r="CY493" s="26"/>
      <c r="CZ493" s="12"/>
      <c r="DA493" s="9"/>
      <c r="DB493" s="10"/>
      <c r="DC493" s="64"/>
      <c r="DD493" s="22">
        <v>1077</v>
      </c>
    </row>
    <row r="494" spans="1:108" ht="36" outlineLevel="2">
      <c r="A494" s="178">
        <v>40325</v>
      </c>
      <c r="B494" s="82" t="s">
        <v>961</v>
      </c>
      <c r="C494" s="82" t="s">
        <v>570</v>
      </c>
      <c r="D494" s="165" t="s">
        <v>1262</v>
      </c>
      <c r="E494" s="167"/>
      <c r="F494" s="66"/>
      <c r="G494" s="66"/>
      <c r="H494" s="66">
        <v>410</v>
      </c>
      <c r="I494" s="66">
        <v>82</v>
      </c>
      <c r="J494" s="66"/>
      <c r="K494" s="66">
        <v>82</v>
      </c>
      <c r="L494" s="66"/>
      <c r="M494" s="66"/>
      <c r="N494" s="66"/>
      <c r="O494" s="66"/>
      <c r="P494" s="66"/>
      <c r="Q494" s="66"/>
      <c r="R494" s="66"/>
      <c r="S494" s="66"/>
      <c r="T494" s="67"/>
      <c r="U494" s="151"/>
      <c r="V494" s="1"/>
      <c r="W494" s="68">
        <f t="shared" si="127"/>
        <v>0</v>
      </c>
      <c r="X494" s="68">
        <f t="shared" si="128"/>
        <v>0</v>
      </c>
      <c r="Y494" s="68">
        <f t="shared" si="129"/>
        <v>0</v>
      </c>
      <c r="Z494" s="68">
        <f t="shared" si="130"/>
        <v>0</v>
      </c>
      <c r="AA494" s="68"/>
      <c r="AB494" s="68">
        <v>0</v>
      </c>
      <c r="AC494" s="69">
        <f t="shared" si="131"/>
        <v>0</v>
      </c>
      <c r="AD494" s="70">
        <v>0</v>
      </c>
      <c r="AE494" s="63">
        <v>40326</v>
      </c>
      <c r="AF494" s="72"/>
      <c r="AG494" s="63" t="s">
        <v>938</v>
      </c>
      <c r="AH494" s="23" t="s">
        <v>939</v>
      </c>
      <c r="AI494" s="60"/>
      <c r="AJ494" s="133" t="s">
        <v>1608</v>
      </c>
      <c r="AK494" s="73" t="s">
        <v>1923</v>
      </c>
      <c r="AL494" s="3"/>
      <c r="AM494" s="4"/>
      <c r="AN494" s="5"/>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6"/>
      <c r="CO494" s="7"/>
      <c r="CP494" s="6"/>
      <c r="CQ494" s="7"/>
      <c r="CR494" s="6"/>
      <c r="CS494" s="7"/>
      <c r="CT494" s="8">
        <f t="shared" si="132"/>
        <v>0</v>
      </c>
      <c r="CU494" s="9"/>
      <c r="CV494" s="10"/>
      <c r="CW494" s="11"/>
      <c r="CX494" s="12"/>
      <c r="CY494" s="26"/>
      <c r="CZ494" s="12"/>
      <c r="DA494" s="9"/>
      <c r="DB494" s="10"/>
      <c r="DC494" s="64"/>
    </row>
    <row r="495" spans="1:108" ht="24" outlineLevel="2">
      <c r="A495" s="178">
        <v>40325</v>
      </c>
      <c r="B495" s="82" t="s">
        <v>961</v>
      </c>
      <c r="C495" s="82" t="s">
        <v>912</v>
      </c>
      <c r="D495" s="165" t="s">
        <v>1262</v>
      </c>
      <c r="E495" s="167"/>
      <c r="F495" s="66"/>
      <c r="G495" s="66"/>
      <c r="H495" s="66">
        <v>125</v>
      </c>
      <c r="I495" s="66">
        <v>25</v>
      </c>
      <c r="J495" s="66"/>
      <c r="K495" s="66">
        <v>25</v>
      </c>
      <c r="L495" s="66"/>
      <c r="M495" s="66"/>
      <c r="N495" s="66"/>
      <c r="O495" s="66"/>
      <c r="P495" s="66"/>
      <c r="Q495" s="66"/>
      <c r="R495" s="66"/>
      <c r="S495" s="66"/>
      <c r="T495" s="67"/>
      <c r="U495" s="151"/>
      <c r="V495" s="1"/>
      <c r="W495" s="68">
        <f t="shared" si="127"/>
        <v>0</v>
      </c>
      <c r="X495" s="68">
        <f t="shared" si="128"/>
        <v>0</v>
      </c>
      <c r="Y495" s="68">
        <f t="shared" si="129"/>
        <v>0</v>
      </c>
      <c r="Z495" s="68">
        <f t="shared" si="130"/>
        <v>0</v>
      </c>
      <c r="AA495" s="68"/>
      <c r="AB495" s="68">
        <v>0</v>
      </c>
      <c r="AC495" s="69">
        <f t="shared" si="131"/>
        <v>0</v>
      </c>
      <c r="AD495" s="70">
        <v>0</v>
      </c>
      <c r="AE495" s="63">
        <v>40326</v>
      </c>
      <c r="AF495" s="72"/>
      <c r="AG495" s="63" t="s">
        <v>938</v>
      </c>
      <c r="AH495" s="23" t="s">
        <v>939</v>
      </c>
      <c r="AI495" s="60"/>
      <c r="AJ495" s="133" t="s">
        <v>1608</v>
      </c>
      <c r="AK495" s="73" t="s">
        <v>1094</v>
      </c>
      <c r="AL495" s="3"/>
      <c r="AM495" s="4"/>
      <c r="AN495" s="5"/>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6"/>
      <c r="CO495" s="7"/>
      <c r="CP495" s="6"/>
      <c r="CQ495" s="7"/>
      <c r="CR495" s="6"/>
      <c r="CS495" s="7"/>
      <c r="CT495" s="8">
        <f t="shared" si="132"/>
        <v>0</v>
      </c>
      <c r="CU495" s="9"/>
      <c r="CV495" s="10"/>
      <c r="CW495" s="11"/>
      <c r="CX495" s="12"/>
      <c r="CY495" s="26"/>
      <c r="CZ495" s="12"/>
      <c r="DA495" s="9"/>
      <c r="DB495" s="10"/>
      <c r="DC495" s="64"/>
    </row>
    <row r="496" spans="1:108" ht="60" outlineLevel="2">
      <c r="A496" s="178">
        <v>40338</v>
      </c>
      <c r="B496" s="82" t="s">
        <v>961</v>
      </c>
      <c r="C496" s="82" t="s">
        <v>962</v>
      </c>
      <c r="D496" s="165" t="s">
        <v>1262</v>
      </c>
      <c r="E496" s="167"/>
      <c r="F496" s="66"/>
      <c r="G496" s="66"/>
      <c r="H496" s="66">
        <v>873</v>
      </c>
      <c r="I496" s="66">
        <v>310</v>
      </c>
      <c r="J496" s="66"/>
      <c r="K496" s="66">
        <v>298</v>
      </c>
      <c r="L496" s="66"/>
      <c r="M496" s="66"/>
      <c r="N496" s="66"/>
      <c r="O496" s="66"/>
      <c r="P496" s="66"/>
      <c r="Q496" s="66"/>
      <c r="R496" s="66"/>
      <c r="S496" s="66"/>
      <c r="T496" s="67"/>
      <c r="U496" s="151"/>
      <c r="V496" s="1"/>
      <c r="W496" s="68">
        <f t="shared" si="127"/>
        <v>0</v>
      </c>
      <c r="X496" s="68">
        <f t="shared" si="128"/>
        <v>0</v>
      </c>
      <c r="Y496" s="68">
        <f t="shared" si="129"/>
        <v>0</v>
      </c>
      <c r="Z496" s="68">
        <f t="shared" si="130"/>
        <v>0</v>
      </c>
      <c r="AA496" s="68"/>
      <c r="AB496" s="68">
        <v>0</v>
      </c>
      <c r="AC496" s="69">
        <f t="shared" si="131"/>
        <v>0</v>
      </c>
      <c r="AD496" s="70">
        <v>0</v>
      </c>
      <c r="AE496" s="65">
        <v>40338</v>
      </c>
      <c r="AF496" s="71"/>
      <c r="AG496" s="65" t="s">
        <v>938</v>
      </c>
      <c r="AH496" s="54" t="s">
        <v>939</v>
      </c>
      <c r="AI496" s="59"/>
      <c r="AJ496" s="133" t="s">
        <v>1608</v>
      </c>
      <c r="AK496" s="73" t="s">
        <v>257</v>
      </c>
      <c r="AL496" s="3"/>
      <c r="AM496" s="4"/>
      <c r="AN496" s="5"/>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6"/>
      <c r="CO496" s="7"/>
      <c r="CP496" s="6"/>
      <c r="CQ496" s="7"/>
      <c r="CR496" s="6"/>
      <c r="CS496" s="7"/>
      <c r="CT496" s="8">
        <f t="shared" si="132"/>
        <v>0</v>
      </c>
      <c r="CU496" s="9"/>
      <c r="CV496" s="10"/>
      <c r="CW496" s="11"/>
      <c r="CX496" s="12"/>
      <c r="CY496" s="26"/>
      <c r="CZ496" s="12"/>
      <c r="DA496" s="9"/>
      <c r="DB496" s="10"/>
      <c r="DC496" s="64"/>
    </row>
    <row r="497" spans="1:108" ht="36" outlineLevel="2">
      <c r="A497" s="178">
        <v>40353</v>
      </c>
      <c r="B497" s="82" t="s">
        <v>961</v>
      </c>
      <c r="C497" s="82" t="s">
        <v>2303</v>
      </c>
      <c r="D497" s="165" t="s">
        <v>1262</v>
      </c>
      <c r="E497" s="167"/>
      <c r="F497" s="66"/>
      <c r="G497" s="66"/>
      <c r="H497" s="66">
        <v>210</v>
      </c>
      <c r="I497" s="66">
        <v>48</v>
      </c>
      <c r="J497" s="66"/>
      <c r="K497" s="66">
        <v>48</v>
      </c>
      <c r="L497" s="66"/>
      <c r="M497" s="66"/>
      <c r="N497" s="66"/>
      <c r="O497" s="66"/>
      <c r="P497" s="66"/>
      <c r="Q497" s="66"/>
      <c r="R497" s="66"/>
      <c r="S497" s="66"/>
      <c r="T497" s="67"/>
      <c r="U497" s="151"/>
      <c r="V497" s="1"/>
      <c r="W497" s="68">
        <f t="shared" si="127"/>
        <v>0</v>
      </c>
      <c r="X497" s="68">
        <f t="shared" si="128"/>
        <v>0</v>
      </c>
      <c r="Y497" s="68">
        <f t="shared" si="129"/>
        <v>0</v>
      </c>
      <c r="Z497" s="68">
        <f t="shared" si="130"/>
        <v>0</v>
      </c>
      <c r="AA497" s="68"/>
      <c r="AB497" s="68">
        <v>0</v>
      </c>
      <c r="AC497" s="69">
        <f t="shared" si="131"/>
        <v>0</v>
      </c>
      <c r="AD497" s="70">
        <v>0</v>
      </c>
      <c r="AE497" s="63">
        <v>40353</v>
      </c>
      <c r="AF497" s="72"/>
      <c r="AG497" s="63" t="s">
        <v>938</v>
      </c>
      <c r="AH497" s="23" t="s">
        <v>939</v>
      </c>
      <c r="AI497" s="60"/>
      <c r="AJ497" s="133" t="s">
        <v>1608</v>
      </c>
      <c r="AK497" s="73" t="s">
        <v>1381</v>
      </c>
      <c r="AL497" s="3"/>
      <c r="AM497" s="4"/>
      <c r="AN497" s="5"/>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6"/>
      <c r="CO497" s="7"/>
      <c r="CP497" s="6"/>
      <c r="CQ497" s="7"/>
      <c r="CR497" s="6"/>
      <c r="CS497" s="7"/>
      <c r="CT497" s="8">
        <f t="shared" si="132"/>
        <v>0</v>
      </c>
      <c r="CU497" s="9"/>
      <c r="CV497" s="10"/>
      <c r="CW497" s="11"/>
      <c r="CX497" s="12"/>
      <c r="CY497" s="26"/>
      <c r="CZ497" s="12"/>
      <c r="DA497" s="9"/>
      <c r="DB497" s="10"/>
      <c r="DC497" s="64"/>
    </row>
    <row r="498" spans="1:108" ht="24" outlineLevel="2">
      <c r="A498" s="178">
        <v>40360</v>
      </c>
      <c r="B498" s="82" t="s">
        <v>961</v>
      </c>
      <c r="C498" s="82" t="s">
        <v>572</v>
      </c>
      <c r="D498" s="165" t="s">
        <v>1262</v>
      </c>
      <c r="E498" s="167"/>
      <c r="F498" s="66"/>
      <c r="G498" s="66"/>
      <c r="H498" s="66">
        <v>102</v>
      </c>
      <c r="I498" s="66">
        <v>18</v>
      </c>
      <c r="J498" s="66"/>
      <c r="K498" s="66">
        <v>18</v>
      </c>
      <c r="L498" s="66"/>
      <c r="M498" s="66"/>
      <c r="N498" s="66"/>
      <c r="O498" s="66"/>
      <c r="P498" s="66"/>
      <c r="Q498" s="66"/>
      <c r="R498" s="66"/>
      <c r="S498" s="66"/>
      <c r="T498" s="67"/>
      <c r="U498" s="151"/>
      <c r="V498" s="1"/>
      <c r="W498" s="68">
        <f t="shared" si="127"/>
        <v>0</v>
      </c>
      <c r="X498" s="68">
        <f t="shared" si="128"/>
        <v>0</v>
      </c>
      <c r="Y498" s="68">
        <f t="shared" si="129"/>
        <v>0</v>
      </c>
      <c r="Z498" s="68">
        <f t="shared" si="130"/>
        <v>0</v>
      </c>
      <c r="AA498" s="68"/>
      <c r="AB498" s="68">
        <v>0</v>
      </c>
      <c r="AC498" s="69">
        <f t="shared" si="131"/>
        <v>0</v>
      </c>
      <c r="AD498" s="70">
        <v>0</v>
      </c>
      <c r="AE498" s="63">
        <v>40361</v>
      </c>
      <c r="AF498" s="72"/>
      <c r="AG498" s="63" t="s">
        <v>938</v>
      </c>
      <c r="AH498" s="23" t="s">
        <v>939</v>
      </c>
      <c r="AI498" s="60"/>
      <c r="AJ498" s="133" t="s">
        <v>1608</v>
      </c>
      <c r="AK498" s="73" t="s">
        <v>1928</v>
      </c>
      <c r="AL498" s="3"/>
      <c r="AM498" s="4"/>
      <c r="AN498" s="5"/>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6"/>
      <c r="CO498" s="7"/>
      <c r="CP498" s="6"/>
      <c r="CQ498" s="7"/>
      <c r="CR498" s="6"/>
      <c r="CS498" s="7"/>
      <c r="CT498" s="8">
        <f t="shared" si="132"/>
        <v>0</v>
      </c>
      <c r="CU498" s="9"/>
      <c r="CV498" s="10"/>
      <c r="CW498" s="11"/>
      <c r="CX498" s="12"/>
      <c r="CY498" s="26"/>
      <c r="CZ498" s="12"/>
      <c r="DA498" s="9"/>
      <c r="DB498" s="10"/>
      <c r="DC498" s="64"/>
      <c r="DD498" s="22">
        <v>1139</v>
      </c>
    </row>
    <row r="499" spans="1:108" ht="24" outlineLevel="2">
      <c r="A499" s="178">
        <v>40370</v>
      </c>
      <c r="B499" s="82" t="s">
        <v>961</v>
      </c>
      <c r="C499" s="82" t="s">
        <v>574</v>
      </c>
      <c r="D499" s="165" t="s">
        <v>1262</v>
      </c>
      <c r="E499" s="167"/>
      <c r="F499" s="66"/>
      <c r="G499" s="66"/>
      <c r="H499" s="66"/>
      <c r="I499" s="66"/>
      <c r="J499" s="66"/>
      <c r="K499" s="66"/>
      <c r="L499" s="66"/>
      <c r="M499" s="66"/>
      <c r="N499" s="66"/>
      <c r="O499" s="66"/>
      <c r="P499" s="66"/>
      <c r="Q499" s="66"/>
      <c r="R499" s="66"/>
      <c r="S499" s="66"/>
      <c r="T499" s="67"/>
      <c r="U499" s="151"/>
      <c r="V499" s="1"/>
      <c r="W499" s="68">
        <f t="shared" si="127"/>
        <v>0</v>
      </c>
      <c r="X499" s="68">
        <f t="shared" si="128"/>
        <v>0</v>
      </c>
      <c r="Y499" s="68">
        <f t="shared" si="129"/>
        <v>0</v>
      </c>
      <c r="Z499" s="68">
        <f t="shared" si="130"/>
        <v>0</v>
      </c>
      <c r="AA499" s="68"/>
      <c r="AB499" s="68">
        <v>0</v>
      </c>
      <c r="AC499" s="69">
        <f t="shared" si="131"/>
        <v>0</v>
      </c>
      <c r="AD499" s="70">
        <v>0</v>
      </c>
      <c r="AE499" s="63">
        <v>40371</v>
      </c>
      <c r="AF499" s="72"/>
      <c r="AG499" s="63" t="s">
        <v>938</v>
      </c>
      <c r="AH499" s="23" t="s">
        <v>939</v>
      </c>
      <c r="AI499" s="60"/>
      <c r="AJ499" s="133" t="s">
        <v>1608</v>
      </c>
      <c r="AK499" s="73" t="s">
        <v>1760</v>
      </c>
      <c r="AL499" s="3"/>
      <c r="AM499" s="4"/>
      <c r="AN499" s="5"/>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6"/>
      <c r="CO499" s="7"/>
      <c r="CP499" s="6"/>
      <c r="CQ499" s="7"/>
      <c r="CR499" s="6"/>
      <c r="CS499" s="7"/>
      <c r="CT499" s="8">
        <f t="shared" si="132"/>
        <v>0</v>
      </c>
      <c r="CU499" s="9"/>
      <c r="CV499" s="10"/>
      <c r="CW499" s="11"/>
      <c r="CX499" s="12"/>
      <c r="CY499" s="26"/>
      <c r="CZ499" s="12"/>
      <c r="DA499" s="9"/>
      <c r="DB499" s="10"/>
      <c r="DC499" s="64"/>
    </row>
    <row r="500" spans="1:108" ht="36" outlineLevel="2">
      <c r="A500" s="178">
        <v>40372</v>
      </c>
      <c r="B500" s="82" t="s">
        <v>961</v>
      </c>
      <c r="C500" s="82" t="s">
        <v>793</v>
      </c>
      <c r="D500" s="165" t="s">
        <v>1262</v>
      </c>
      <c r="E500" s="167"/>
      <c r="F500" s="66"/>
      <c r="G500" s="66"/>
      <c r="H500" s="66">
        <v>123</v>
      </c>
      <c r="I500" s="66">
        <v>24</v>
      </c>
      <c r="J500" s="66"/>
      <c r="K500" s="66">
        <v>24</v>
      </c>
      <c r="L500" s="66"/>
      <c r="M500" s="66"/>
      <c r="N500" s="66"/>
      <c r="O500" s="66"/>
      <c r="P500" s="66"/>
      <c r="Q500" s="66"/>
      <c r="R500" s="66"/>
      <c r="S500" s="66"/>
      <c r="T500" s="67"/>
      <c r="U500" s="151"/>
      <c r="V500" s="1"/>
      <c r="W500" s="68">
        <f t="shared" si="127"/>
        <v>0</v>
      </c>
      <c r="X500" s="68">
        <f t="shared" si="128"/>
        <v>0</v>
      </c>
      <c r="Y500" s="68">
        <f t="shared" si="129"/>
        <v>0</v>
      </c>
      <c r="Z500" s="68">
        <f t="shared" si="130"/>
        <v>0</v>
      </c>
      <c r="AA500" s="68"/>
      <c r="AB500" s="68">
        <v>0</v>
      </c>
      <c r="AC500" s="69">
        <f t="shared" si="131"/>
        <v>0</v>
      </c>
      <c r="AD500" s="70">
        <v>0</v>
      </c>
      <c r="AE500" s="63">
        <v>40343</v>
      </c>
      <c r="AF500" s="72"/>
      <c r="AG500" s="63" t="s">
        <v>938</v>
      </c>
      <c r="AH500" s="23" t="s">
        <v>939</v>
      </c>
      <c r="AI500" s="60"/>
      <c r="AJ500" s="133" t="s">
        <v>1608</v>
      </c>
      <c r="AK500" s="73" t="s">
        <v>794</v>
      </c>
      <c r="AL500" s="3"/>
      <c r="AM500" s="4"/>
      <c r="AN500" s="5"/>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6"/>
      <c r="CO500" s="7"/>
      <c r="CP500" s="6"/>
      <c r="CQ500" s="7"/>
      <c r="CR500" s="6"/>
      <c r="CS500" s="7"/>
      <c r="CT500" s="8">
        <f t="shared" si="132"/>
        <v>0</v>
      </c>
      <c r="CU500" s="9"/>
      <c r="CV500" s="10"/>
      <c r="CW500" s="11"/>
      <c r="CX500" s="12"/>
      <c r="CY500" s="26"/>
      <c r="CZ500" s="12"/>
      <c r="DA500" s="9"/>
      <c r="DB500" s="10"/>
      <c r="DC500" s="64"/>
    </row>
    <row r="501" spans="1:108" ht="36" outlineLevel="2">
      <c r="A501" s="178">
        <v>40408</v>
      </c>
      <c r="B501" s="82" t="s">
        <v>961</v>
      </c>
      <c r="C501" s="82" t="s">
        <v>2303</v>
      </c>
      <c r="D501" s="165" t="s">
        <v>1262</v>
      </c>
      <c r="E501" s="167"/>
      <c r="F501" s="66"/>
      <c r="G501" s="66"/>
      <c r="H501" s="66">
        <v>150</v>
      </c>
      <c r="I501" s="66">
        <v>30</v>
      </c>
      <c r="J501" s="66"/>
      <c r="K501" s="66">
        <v>30</v>
      </c>
      <c r="L501" s="66"/>
      <c r="M501" s="66"/>
      <c r="N501" s="66"/>
      <c r="O501" s="66"/>
      <c r="P501" s="66"/>
      <c r="Q501" s="66"/>
      <c r="R501" s="66"/>
      <c r="S501" s="66"/>
      <c r="T501" s="67"/>
      <c r="U501" s="151"/>
      <c r="V501" s="1"/>
      <c r="W501" s="68">
        <f t="shared" si="127"/>
        <v>0</v>
      </c>
      <c r="X501" s="68">
        <f t="shared" si="128"/>
        <v>0</v>
      </c>
      <c r="Y501" s="68">
        <f t="shared" si="129"/>
        <v>0</v>
      </c>
      <c r="Z501" s="68">
        <f t="shared" si="130"/>
        <v>0</v>
      </c>
      <c r="AA501" s="68"/>
      <c r="AB501" s="68">
        <v>0</v>
      </c>
      <c r="AC501" s="69">
        <f t="shared" si="131"/>
        <v>0</v>
      </c>
      <c r="AD501" s="70">
        <v>0</v>
      </c>
      <c r="AE501" s="63">
        <v>40371</v>
      </c>
      <c r="AF501" s="72"/>
      <c r="AG501" s="63" t="s">
        <v>938</v>
      </c>
      <c r="AH501" s="23" t="s">
        <v>939</v>
      </c>
      <c r="AI501" s="60"/>
      <c r="AJ501" s="133" t="s">
        <v>1608</v>
      </c>
      <c r="AK501" s="73" t="s">
        <v>2097</v>
      </c>
      <c r="AL501" s="3"/>
      <c r="AM501" s="4"/>
      <c r="AN501" s="5"/>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6"/>
      <c r="CO501" s="7"/>
      <c r="CP501" s="6"/>
      <c r="CQ501" s="7"/>
      <c r="CR501" s="6"/>
      <c r="CS501" s="7"/>
      <c r="CT501" s="8">
        <f t="shared" si="132"/>
        <v>0</v>
      </c>
      <c r="CU501" s="9"/>
      <c r="CV501" s="10"/>
      <c r="CW501" s="11"/>
      <c r="CX501" s="12"/>
      <c r="CY501" s="26"/>
      <c r="CZ501" s="12"/>
      <c r="DA501" s="9"/>
      <c r="DB501" s="10"/>
      <c r="DC501" s="64"/>
    </row>
    <row r="502" spans="1:108" ht="36" outlineLevel="2">
      <c r="A502" s="178">
        <v>40408</v>
      </c>
      <c r="B502" s="82" t="s">
        <v>961</v>
      </c>
      <c r="C502" s="82" t="s">
        <v>1558</v>
      </c>
      <c r="D502" s="165" t="s">
        <v>1262</v>
      </c>
      <c r="E502" s="167"/>
      <c r="F502" s="66"/>
      <c r="G502" s="66"/>
      <c r="H502" s="66">
        <v>30</v>
      </c>
      <c r="I502" s="66">
        <v>9</v>
      </c>
      <c r="J502" s="66"/>
      <c r="K502" s="66">
        <v>9</v>
      </c>
      <c r="L502" s="66"/>
      <c r="M502" s="66"/>
      <c r="N502" s="66"/>
      <c r="O502" s="66"/>
      <c r="P502" s="66"/>
      <c r="Q502" s="66"/>
      <c r="R502" s="66"/>
      <c r="S502" s="66"/>
      <c r="T502" s="67"/>
      <c r="U502" s="151"/>
      <c r="V502" s="1"/>
      <c r="W502" s="68">
        <f t="shared" si="127"/>
        <v>0</v>
      </c>
      <c r="X502" s="68">
        <f t="shared" si="128"/>
        <v>0</v>
      </c>
      <c r="Y502" s="68">
        <f t="shared" si="129"/>
        <v>0</v>
      </c>
      <c r="Z502" s="68">
        <f t="shared" si="130"/>
        <v>0</v>
      </c>
      <c r="AA502" s="68"/>
      <c r="AB502" s="68">
        <v>0</v>
      </c>
      <c r="AC502" s="69">
        <f t="shared" si="131"/>
        <v>0</v>
      </c>
      <c r="AD502" s="70">
        <v>0</v>
      </c>
      <c r="AE502" s="63">
        <v>40413</v>
      </c>
      <c r="AF502" s="72"/>
      <c r="AG502" s="63" t="s">
        <v>938</v>
      </c>
      <c r="AH502" s="23" t="s">
        <v>939</v>
      </c>
      <c r="AI502" s="60"/>
      <c r="AJ502" s="133" t="s">
        <v>1608</v>
      </c>
      <c r="AK502" s="73" t="s">
        <v>2096</v>
      </c>
      <c r="AL502" s="3"/>
      <c r="AM502" s="4"/>
      <c r="AN502" s="5"/>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6"/>
      <c r="CO502" s="7"/>
      <c r="CP502" s="6"/>
      <c r="CQ502" s="7"/>
      <c r="CR502" s="6"/>
      <c r="CS502" s="7"/>
      <c r="CT502" s="8">
        <f t="shared" si="132"/>
        <v>0</v>
      </c>
      <c r="CU502" s="9"/>
      <c r="CV502" s="10"/>
      <c r="CW502" s="11"/>
      <c r="CX502" s="12"/>
      <c r="CY502" s="26"/>
      <c r="CZ502" s="12"/>
      <c r="DA502" s="9"/>
      <c r="DB502" s="10"/>
      <c r="DC502" s="64"/>
    </row>
    <row r="503" spans="1:108" ht="108" outlineLevel="2">
      <c r="A503" s="178">
        <v>40408</v>
      </c>
      <c r="B503" s="82" t="s">
        <v>961</v>
      </c>
      <c r="C503" s="82" t="s">
        <v>570</v>
      </c>
      <c r="D503" s="165" t="s">
        <v>1262</v>
      </c>
      <c r="E503" s="167"/>
      <c r="F503" s="66"/>
      <c r="G503" s="66"/>
      <c r="H503" s="66">
        <f>215*5</f>
        <v>1075</v>
      </c>
      <c r="I503" s="66">
        <v>215</v>
      </c>
      <c r="J503" s="66"/>
      <c r="K503" s="66">
        <v>215</v>
      </c>
      <c r="L503" s="66"/>
      <c r="M503" s="66"/>
      <c r="N503" s="66"/>
      <c r="O503" s="66"/>
      <c r="P503" s="66"/>
      <c r="Q503" s="66"/>
      <c r="R503" s="66"/>
      <c r="S503" s="66"/>
      <c r="T503" s="67"/>
      <c r="U503" s="151"/>
      <c r="V503" s="1">
        <v>40452</v>
      </c>
      <c r="W503" s="68">
        <f t="shared" si="127"/>
        <v>42129680</v>
      </c>
      <c r="X503" s="68">
        <f t="shared" si="128"/>
        <v>18275000</v>
      </c>
      <c r="Y503" s="68">
        <f t="shared" si="129"/>
        <v>0</v>
      </c>
      <c r="Z503" s="68">
        <f t="shared" si="130"/>
        <v>0</v>
      </c>
      <c r="AA503" s="68"/>
      <c r="AB503" s="68">
        <v>30089400</v>
      </c>
      <c r="AC503" s="69">
        <f t="shared" si="131"/>
        <v>90494080</v>
      </c>
      <c r="AD503" s="70">
        <v>0</v>
      </c>
      <c r="AE503" s="63">
        <v>40413</v>
      </c>
      <c r="AF503" s="72">
        <v>42750</v>
      </c>
      <c r="AG503" s="63" t="s">
        <v>954</v>
      </c>
      <c r="AH503" s="23" t="s">
        <v>955</v>
      </c>
      <c r="AI503" s="75" t="s">
        <v>500</v>
      </c>
      <c r="AJ503" s="133" t="s">
        <v>1476</v>
      </c>
      <c r="AK503" s="73" t="s">
        <v>501</v>
      </c>
      <c r="AL503" s="3"/>
      <c r="AM503" s="4"/>
      <c r="AN503" s="5"/>
      <c r="AO503" s="4"/>
      <c r="AP503" s="4"/>
      <c r="AQ503" s="4"/>
      <c r="AR503" s="4"/>
      <c r="AS503" s="4"/>
      <c r="AT503" s="4"/>
      <c r="AU503" s="4"/>
      <c r="AV503" s="4"/>
      <c r="AW503" s="4"/>
      <c r="AX503" s="4"/>
      <c r="AY503" s="4"/>
      <c r="AZ503" s="4"/>
      <c r="BA503" s="4"/>
      <c r="BB503" s="4"/>
      <c r="BC503" s="4"/>
      <c r="BD503" s="4"/>
      <c r="BE503" s="4"/>
      <c r="BF503" s="4"/>
      <c r="BG503" s="4"/>
      <c r="BH503" s="4"/>
      <c r="BI503" s="4"/>
      <c r="BJ503" s="4">
        <v>430</v>
      </c>
      <c r="BK503" s="4">
        <f>430*25500</f>
        <v>10965000</v>
      </c>
      <c r="BL503" s="4"/>
      <c r="BM503" s="4"/>
      <c r="BN503" s="4"/>
      <c r="BO503" s="4"/>
      <c r="BP503" s="4"/>
      <c r="BQ503" s="4"/>
      <c r="BR503" s="4"/>
      <c r="BS503" s="4"/>
      <c r="BT503" s="4"/>
      <c r="BU503" s="4"/>
      <c r="BV503" s="4"/>
      <c r="BW503" s="4"/>
      <c r="BX503" s="4"/>
      <c r="BY503" s="4"/>
      <c r="BZ503" s="4"/>
      <c r="CA503" s="4"/>
      <c r="CB503" s="4"/>
      <c r="CC503" s="4"/>
      <c r="CD503" s="4"/>
      <c r="CE503" s="4"/>
      <c r="CF503" s="4"/>
      <c r="CG503" s="4"/>
      <c r="CH503" s="4">
        <v>430</v>
      </c>
      <c r="CI503" s="4">
        <f>430*18000</f>
        <v>7740000</v>
      </c>
      <c r="CJ503" s="4"/>
      <c r="CK503" s="4"/>
      <c r="CL503" s="4">
        <v>430</v>
      </c>
      <c r="CM503" s="4">
        <f>430*18000</f>
        <v>7740000</v>
      </c>
      <c r="CN503" s="6">
        <v>215</v>
      </c>
      <c r="CO503" s="7">
        <f>215*36952</f>
        <v>7944680</v>
      </c>
      <c r="CP503" s="6">
        <v>215</v>
      </c>
      <c r="CQ503" s="7">
        <f>215*36000</f>
        <v>7740000</v>
      </c>
      <c r="CR503" s="6"/>
      <c r="CS503" s="7"/>
      <c r="CT503" s="8">
        <f t="shared" si="132"/>
        <v>42129680</v>
      </c>
      <c r="CU503" s="9"/>
      <c r="CV503" s="10"/>
      <c r="CW503" s="11">
        <v>215</v>
      </c>
      <c r="CX503" s="12">
        <f>215*85000</f>
        <v>18275000</v>
      </c>
      <c r="CY503" s="26"/>
      <c r="CZ503" s="12"/>
      <c r="DA503" s="9"/>
      <c r="DB503" s="10"/>
      <c r="DC503" s="64"/>
    </row>
    <row r="504" spans="1:108" ht="24" outlineLevel="2">
      <c r="A504" s="178">
        <v>40467</v>
      </c>
      <c r="B504" s="164" t="s">
        <v>961</v>
      </c>
      <c r="C504" s="164" t="s">
        <v>2373</v>
      </c>
      <c r="D504" s="166" t="s">
        <v>1262</v>
      </c>
      <c r="E504" s="163"/>
      <c r="F504" s="105"/>
      <c r="G504" s="105">
        <v>1</v>
      </c>
      <c r="H504" s="105"/>
      <c r="I504" s="105"/>
      <c r="J504" s="105"/>
      <c r="K504" s="105"/>
      <c r="L504" s="105"/>
      <c r="M504" s="105"/>
      <c r="N504" s="105"/>
      <c r="O504" s="105"/>
      <c r="P504" s="105"/>
      <c r="Q504" s="105"/>
      <c r="R504" s="105"/>
      <c r="S504" s="105"/>
      <c r="T504" s="106"/>
      <c r="U504" s="130"/>
      <c r="V504" s="1"/>
      <c r="W504" s="68">
        <f t="shared" si="127"/>
        <v>0</v>
      </c>
      <c r="X504" s="68">
        <f t="shared" si="128"/>
        <v>0</v>
      </c>
      <c r="Y504" s="68">
        <f t="shared" si="129"/>
        <v>0</v>
      </c>
      <c r="Z504" s="68">
        <f t="shared" si="130"/>
        <v>0</v>
      </c>
      <c r="AA504" s="68"/>
      <c r="AB504" s="68">
        <v>0</v>
      </c>
      <c r="AC504" s="69">
        <f t="shared" si="131"/>
        <v>0</v>
      </c>
      <c r="AD504" s="70">
        <v>0</v>
      </c>
      <c r="AE504" s="63">
        <v>40470</v>
      </c>
      <c r="AF504" s="72"/>
      <c r="AG504" s="63" t="s">
        <v>938</v>
      </c>
      <c r="AH504" s="23" t="s">
        <v>939</v>
      </c>
      <c r="AI504" s="60"/>
      <c r="AJ504" s="124" t="s">
        <v>1608</v>
      </c>
      <c r="AK504" s="121" t="s">
        <v>2310</v>
      </c>
      <c r="AL504" s="107"/>
      <c r="AM504" s="108"/>
      <c r="AN504" s="109"/>
      <c r="AO504" s="108"/>
      <c r="AP504" s="108"/>
      <c r="AQ504" s="108"/>
      <c r="AR504" s="108"/>
      <c r="AS504" s="108"/>
      <c r="AT504" s="108"/>
      <c r="AU504" s="108"/>
      <c r="AV504" s="108"/>
      <c r="AW504" s="108"/>
      <c r="AX504" s="108"/>
      <c r="AY504" s="108"/>
      <c r="AZ504" s="108"/>
      <c r="BA504" s="108"/>
      <c r="BB504" s="108"/>
      <c r="BC504" s="108"/>
      <c r="BD504" s="108"/>
      <c r="BE504" s="108"/>
      <c r="BF504" s="108"/>
      <c r="BG504" s="108"/>
      <c r="BH504" s="108"/>
      <c r="BI504" s="108"/>
      <c r="BJ504" s="108"/>
      <c r="BK504" s="108"/>
      <c r="BL504" s="108"/>
      <c r="BM504" s="108"/>
      <c r="BN504" s="108"/>
      <c r="BO504" s="108"/>
      <c r="BP504" s="108"/>
      <c r="BQ504" s="108"/>
      <c r="BR504" s="108"/>
      <c r="BS504" s="108"/>
      <c r="BT504" s="108"/>
      <c r="BU504" s="108"/>
      <c r="BV504" s="108"/>
      <c r="BW504" s="108"/>
      <c r="BX504" s="108"/>
      <c r="BY504" s="108"/>
      <c r="BZ504" s="108"/>
      <c r="CA504" s="108"/>
      <c r="CB504" s="108"/>
      <c r="CC504" s="108"/>
      <c r="CD504" s="108"/>
      <c r="CE504" s="108"/>
      <c r="CF504" s="108"/>
      <c r="CG504" s="108"/>
      <c r="CH504" s="108"/>
      <c r="CI504" s="108"/>
      <c r="CJ504" s="108"/>
      <c r="CK504" s="108"/>
      <c r="CL504" s="108"/>
      <c r="CM504" s="108"/>
      <c r="CN504" s="110"/>
      <c r="CO504" s="111"/>
      <c r="CP504" s="110"/>
      <c r="CQ504" s="111"/>
      <c r="CR504" s="110"/>
      <c r="CS504" s="111"/>
      <c r="CT504" s="112">
        <f t="shared" si="132"/>
        <v>0</v>
      </c>
      <c r="CU504" s="113"/>
      <c r="CV504" s="114"/>
      <c r="CW504" s="115"/>
      <c r="CX504" s="116"/>
      <c r="CY504" s="117"/>
      <c r="CZ504" s="116"/>
      <c r="DA504" s="113"/>
      <c r="DB504" s="114"/>
      <c r="DC504" s="64"/>
      <c r="DD504" s="118"/>
    </row>
    <row r="505" spans="1:108" ht="36" outlineLevel="2">
      <c r="A505" s="178">
        <v>40494</v>
      </c>
      <c r="B505" s="164" t="s">
        <v>961</v>
      </c>
      <c r="C505" s="164" t="s">
        <v>1558</v>
      </c>
      <c r="D505" s="166" t="s">
        <v>1262</v>
      </c>
      <c r="E505" s="163"/>
      <c r="F505" s="105"/>
      <c r="G505" s="105"/>
      <c r="H505" s="105">
        <v>160</v>
      </c>
      <c r="I505" s="105">
        <v>31</v>
      </c>
      <c r="J505" s="105"/>
      <c r="K505" s="105">
        <v>31</v>
      </c>
      <c r="L505" s="105"/>
      <c r="M505" s="105"/>
      <c r="N505" s="105"/>
      <c r="O505" s="105"/>
      <c r="P505" s="105"/>
      <c r="Q505" s="105"/>
      <c r="R505" s="105"/>
      <c r="S505" s="105"/>
      <c r="T505" s="106"/>
      <c r="U505" s="130"/>
      <c r="V505" s="1"/>
      <c r="W505" s="68">
        <f t="shared" si="127"/>
        <v>0</v>
      </c>
      <c r="X505" s="68">
        <f t="shared" si="128"/>
        <v>0</v>
      </c>
      <c r="Y505" s="68">
        <f t="shared" si="129"/>
        <v>0</v>
      </c>
      <c r="Z505" s="68">
        <f t="shared" si="130"/>
        <v>0</v>
      </c>
      <c r="AA505" s="68"/>
      <c r="AB505" s="68">
        <v>0</v>
      </c>
      <c r="AC505" s="69">
        <f t="shared" si="131"/>
        <v>0</v>
      </c>
      <c r="AD505" s="70">
        <v>0</v>
      </c>
      <c r="AE505" s="63">
        <v>40492</v>
      </c>
      <c r="AF505" s="72"/>
      <c r="AG505" s="63" t="s">
        <v>938</v>
      </c>
      <c r="AH505" s="23" t="s">
        <v>939</v>
      </c>
      <c r="AI505" s="60"/>
      <c r="AJ505" s="124" t="s">
        <v>1608</v>
      </c>
      <c r="AK505" s="121" t="s">
        <v>90</v>
      </c>
      <c r="AL505" s="107"/>
      <c r="AM505" s="108"/>
      <c r="AN505" s="109"/>
      <c r="AO505" s="108"/>
      <c r="AP505" s="108"/>
      <c r="AQ505" s="108"/>
      <c r="AR505" s="108"/>
      <c r="AS505" s="108"/>
      <c r="AT505" s="108"/>
      <c r="AU505" s="108"/>
      <c r="AV505" s="108"/>
      <c r="AW505" s="108"/>
      <c r="AX505" s="108"/>
      <c r="AY505" s="108"/>
      <c r="AZ505" s="108"/>
      <c r="BA505" s="108"/>
      <c r="BB505" s="108"/>
      <c r="BC505" s="108"/>
      <c r="BD505" s="108"/>
      <c r="BE505" s="108"/>
      <c r="BF505" s="108"/>
      <c r="BG505" s="108"/>
      <c r="BH505" s="108"/>
      <c r="BI505" s="108"/>
      <c r="BJ505" s="108"/>
      <c r="BK505" s="108"/>
      <c r="BL505" s="108"/>
      <c r="BM505" s="108"/>
      <c r="BN505" s="108"/>
      <c r="BO505" s="108"/>
      <c r="BP505" s="108"/>
      <c r="BQ505" s="108"/>
      <c r="BR505" s="108"/>
      <c r="BS505" s="108"/>
      <c r="BT505" s="108"/>
      <c r="BU505" s="108"/>
      <c r="BV505" s="108"/>
      <c r="BW505" s="108"/>
      <c r="BX505" s="108"/>
      <c r="BY505" s="108"/>
      <c r="BZ505" s="108"/>
      <c r="CA505" s="108"/>
      <c r="CB505" s="108"/>
      <c r="CC505" s="108"/>
      <c r="CD505" s="108"/>
      <c r="CE505" s="108"/>
      <c r="CF505" s="108"/>
      <c r="CG505" s="108"/>
      <c r="CH505" s="108"/>
      <c r="CI505" s="108"/>
      <c r="CJ505" s="108"/>
      <c r="CK505" s="108"/>
      <c r="CL505" s="108"/>
      <c r="CM505" s="108"/>
      <c r="CN505" s="110"/>
      <c r="CO505" s="111"/>
      <c r="CP505" s="110"/>
      <c r="CQ505" s="111"/>
      <c r="CR505" s="110"/>
      <c r="CS505" s="111"/>
      <c r="CT505" s="112">
        <f t="shared" si="132"/>
        <v>0</v>
      </c>
      <c r="CU505" s="113"/>
      <c r="CV505" s="114"/>
      <c r="CW505" s="115"/>
      <c r="CX505" s="116"/>
      <c r="CY505" s="117"/>
      <c r="CZ505" s="116"/>
      <c r="DA505" s="113"/>
      <c r="DB505" s="114"/>
      <c r="DC505" s="64"/>
      <c r="DD505" s="118"/>
    </row>
    <row r="506" spans="1:108" ht="60" outlineLevel="2">
      <c r="A506" s="178">
        <v>40499</v>
      </c>
      <c r="B506" s="164" t="s">
        <v>961</v>
      </c>
      <c r="C506" s="164" t="s">
        <v>912</v>
      </c>
      <c r="D506" s="166" t="s">
        <v>1262</v>
      </c>
      <c r="E506" s="163">
        <v>1</v>
      </c>
      <c r="F506" s="105"/>
      <c r="G506" s="105"/>
      <c r="H506" s="105">
        <v>750</v>
      </c>
      <c r="I506" s="105">
        <v>150</v>
      </c>
      <c r="J506" s="105"/>
      <c r="K506" s="105">
        <v>150</v>
      </c>
      <c r="L506" s="105"/>
      <c r="M506" s="105"/>
      <c r="N506" s="105"/>
      <c r="O506" s="105"/>
      <c r="P506" s="105"/>
      <c r="Q506" s="105"/>
      <c r="R506" s="105"/>
      <c r="S506" s="105"/>
      <c r="T506" s="106"/>
      <c r="U506" s="130" t="s">
        <v>89</v>
      </c>
      <c r="V506" s="1"/>
      <c r="W506" s="68">
        <f t="shared" si="127"/>
        <v>0</v>
      </c>
      <c r="X506" s="68">
        <f t="shared" si="128"/>
        <v>0</v>
      </c>
      <c r="Y506" s="68">
        <f t="shared" si="129"/>
        <v>0</v>
      </c>
      <c r="Z506" s="68">
        <f t="shared" si="130"/>
        <v>0</v>
      </c>
      <c r="AA506" s="68"/>
      <c r="AB506" s="68">
        <v>0</v>
      </c>
      <c r="AC506" s="69">
        <f t="shared" si="131"/>
        <v>0</v>
      </c>
      <c r="AD506" s="70">
        <v>0</v>
      </c>
      <c r="AE506" s="63">
        <v>40504</v>
      </c>
      <c r="AF506" s="72"/>
      <c r="AG506" s="63" t="s">
        <v>938</v>
      </c>
      <c r="AH506" s="23" t="s">
        <v>939</v>
      </c>
      <c r="AI506" s="60"/>
      <c r="AJ506" s="124" t="s">
        <v>1608</v>
      </c>
      <c r="AK506" s="121" t="s">
        <v>88</v>
      </c>
      <c r="AL506" s="107"/>
      <c r="AM506" s="108"/>
      <c r="AN506" s="109"/>
      <c r="AO506" s="108"/>
      <c r="AP506" s="108"/>
      <c r="AQ506" s="108"/>
      <c r="AR506" s="108"/>
      <c r="AS506" s="108"/>
      <c r="AT506" s="108"/>
      <c r="AU506" s="108"/>
      <c r="AV506" s="108"/>
      <c r="AW506" s="108"/>
      <c r="AX506" s="108"/>
      <c r="AY506" s="108"/>
      <c r="AZ506" s="108"/>
      <c r="BA506" s="108"/>
      <c r="BB506" s="108"/>
      <c r="BC506" s="108"/>
      <c r="BD506" s="108"/>
      <c r="BE506" s="108"/>
      <c r="BF506" s="108"/>
      <c r="BG506" s="108"/>
      <c r="BH506" s="108"/>
      <c r="BI506" s="108"/>
      <c r="BJ506" s="108"/>
      <c r="BK506" s="108"/>
      <c r="BL506" s="108"/>
      <c r="BM506" s="108"/>
      <c r="BN506" s="108"/>
      <c r="BO506" s="108"/>
      <c r="BP506" s="108"/>
      <c r="BQ506" s="108"/>
      <c r="BR506" s="108"/>
      <c r="BS506" s="108"/>
      <c r="BT506" s="108"/>
      <c r="BU506" s="108"/>
      <c r="BV506" s="108"/>
      <c r="BW506" s="108"/>
      <c r="BX506" s="108"/>
      <c r="BY506" s="108"/>
      <c r="BZ506" s="108"/>
      <c r="CA506" s="108"/>
      <c r="CB506" s="108"/>
      <c r="CC506" s="108"/>
      <c r="CD506" s="108"/>
      <c r="CE506" s="108"/>
      <c r="CF506" s="108"/>
      <c r="CG506" s="108"/>
      <c r="CH506" s="108"/>
      <c r="CI506" s="108"/>
      <c r="CJ506" s="108"/>
      <c r="CK506" s="108"/>
      <c r="CL506" s="108"/>
      <c r="CM506" s="108"/>
      <c r="CN506" s="110"/>
      <c r="CO506" s="111"/>
      <c r="CP506" s="110"/>
      <c r="CQ506" s="111"/>
      <c r="CR506" s="110"/>
      <c r="CS506" s="111"/>
      <c r="CT506" s="112">
        <f t="shared" si="132"/>
        <v>0</v>
      </c>
      <c r="CU506" s="113"/>
      <c r="CV506" s="114"/>
      <c r="CW506" s="115"/>
      <c r="CX506" s="116"/>
      <c r="CY506" s="117"/>
      <c r="CZ506" s="116"/>
      <c r="DA506" s="113"/>
      <c r="DB506" s="114"/>
      <c r="DC506" s="64"/>
      <c r="DD506" s="118"/>
    </row>
    <row r="507" spans="1:108" ht="60" outlineLevel="2">
      <c r="A507" s="178">
        <v>40500</v>
      </c>
      <c r="B507" s="164" t="s">
        <v>961</v>
      </c>
      <c r="C507" s="164" t="s">
        <v>1751</v>
      </c>
      <c r="D507" s="166" t="s">
        <v>1262</v>
      </c>
      <c r="E507" s="163"/>
      <c r="F507" s="105"/>
      <c r="G507" s="105"/>
      <c r="H507" s="105">
        <v>830</v>
      </c>
      <c r="I507" s="105">
        <v>166</v>
      </c>
      <c r="J507" s="105"/>
      <c r="K507" s="105">
        <v>166</v>
      </c>
      <c r="L507" s="105"/>
      <c r="M507" s="105"/>
      <c r="N507" s="105"/>
      <c r="O507" s="105"/>
      <c r="P507" s="105"/>
      <c r="Q507" s="105"/>
      <c r="R507" s="105"/>
      <c r="S507" s="105"/>
      <c r="T507" s="106"/>
      <c r="U507" s="130"/>
      <c r="V507" s="1"/>
      <c r="W507" s="68">
        <f t="shared" si="127"/>
        <v>0</v>
      </c>
      <c r="X507" s="68">
        <f t="shared" si="128"/>
        <v>0</v>
      </c>
      <c r="Y507" s="68">
        <f t="shared" si="129"/>
        <v>0</v>
      </c>
      <c r="Z507" s="68">
        <f t="shared" si="130"/>
        <v>0</v>
      </c>
      <c r="AA507" s="68"/>
      <c r="AB507" s="68">
        <v>0</v>
      </c>
      <c r="AC507" s="69">
        <f t="shared" si="131"/>
        <v>0</v>
      </c>
      <c r="AD507" s="70">
        <v>0</v>
      </c>
      <c r="AE507" s="63">
        <v>40504</v>
      </c>
      <c r="AF507" s="72"/>
      <c r="AG507" s="63" t="s">
        <v>938</v>
      </c>
      <c r="AH507" s="23" t="s">
        <v>939</v>
      </c>
      <c r="AI507" s="60"/>
      <c r="AJ507" s="124" t="s">
        <v>1608</v>
      </c>
      <c r="AK507" s="121" t="s">
        <v>659</v>
      </c>
      <c r="AL507" s="107"/>
      <c r="AM507" s="108"/>
      <c r="AN507" s="109"/>
      <c r="AO507" s="108"/>
      <c r="AP507" s="108"/>
      <c r="AQ507" s="108"/>
      <c r="AR507" s="108"/>
      <c r="AS507" s="108"/>
      <c r="AT507" s="108"/>
      <c r="AU507" s="108"/>
      <c r="AV507" s="108"/>
      <c r="AW507" s="108"/>
      <c r="AX507" s="108"/>
      <c r="AY507" s="108"/>
      <c r="AZ507" s="108"/>
      <c r="BA507" s="108"/>
      <c r="BB507" s="108"/>
      <c r="BC507" s="108"/>
      <c r="BD507" s="108"/>
      <c r="BE507" s="108"/>
      <c r="BF507" s="108"/>
      <c r="BG507" s="108"/>
      <c r="BH507" s="108"/>
      <c r="BI507" s="108"/>
      <c r="BJ507" s="108"/>
      <c r="BK507" s="108"/>
      <c r="BL507" s="108"/>
      <c r="BM507" s="108"/>
      <c r="BN507" s="108"/>
      <c r="BO507" s="108"/>
      <c r="BP507" s="108"/>
      <c r="BQ507" s="108"/>
      <c r="BR507" s="108"/>
      <c r="BS507" s="108"/>
      <c r="BT507" s="108"/>
      <c r="BU507" s="108"/>
      <c r="BV507" s="108"/>
      <c r="BW507" s="108"/>
      <c r="BX507" s="108"/>
      <c r="BY507" s="108"/>
      <c r="BZ507" s="108"/>
      <c r="CA507" s="108"/>
      <c r="CB507" s="108"/>
      <c r="CC507" s="108"/>
      <c r="CD507" s="108"/>
      <c r="CE507" s="108"/>
      <c r="CF507" s="108"/>
      <c r="CG507" s="108"/>
      <c r="CH507" s="108"/>
      <c r="CI507" s="108"/>
      <c r="CJ507" s="108"/>
      <c r="CK507" s="108"/>
      <c r="CL507" s="108"/>
      <c r="CM507" s="108"/>
      <c r="CN507" s="110"/>
      <c r="CO507" s="111"/>
      <c r="CP507" s="110"/>
      <c r="CQ507" s="111"/>
      <c r="CR507" s="110"/>
      <c r="CS507" s="111"/>
      <c r="CT507" s="112">
        <f t="shared" si="132"/>
        <v>0</v>
      </c>
      <c r="CU507" s="113"/>
      <c r="CV507" s="114"/>
      <c r="CW507" s="115"/>
      <c r="CX507" s="116"/>
      <c r="CY507" s="117"/>
      <c r="CZ507" s="116"/>
      <c r="DA507" s="113"/>
      <c r="DB507" s="114"/>
      <c r="DC507" s="64"/>
      <c r="DD507" s="118"/>
    </row>
    <row r="508" spans="1:108" ht="22.5" outlineLevel="1">
      <c r="A508" s="178"/>
      <c r="B508" s="192" t="s">
        <v>2446</v>
      </c>
      <c r="C508" s="164"/>
      <c r="D508" s="166"/>
      <c r="E508" s="163">
        <f t="shared" ref="E508:T508" si="133">SUBTOTAL(9,E487:E507)</f>
        <v>1</v>
      </c>
      <c r="F508" s="105">
        <f t="shared" si="133"/>
        <v>0</v>
      </c>
      <c r="G508" s="105">
        <f t="shared" si="133"/>
        <v>1</v>
      </c>
      <c r="H508" s="105">
        <f t="shared" si="133"/>
        <v>5694</v>
      </c>
      <c r="I508" s="105">
        <f t="shared" si="133"/>
        <v>1302</v>
      </c>
      <c r="J508" s="105">
        <f t="shared" si="133"/>
        <v>0</v>
      </c>
      <c r="K508" s="105">
        <f t="shared" si="133"/>
        <v>1230</v>
      </c>
      <c r="L508" s="105">
        <f t="shared" si="133"/>
        <v>1</v>
      </c>
      <c r="M508" s="105">
        <f t="shared" si="133"/>
        <v>0</v>
      </c>
      <c r="N508" s="105">
        <f t="shared" si="133"/>
        <v>0</v>
      </c>
      <c r="O508" s="105">
        <f t="shared" si="133"/>
        <v>0</v>
      </c>
      <c r="P508" s="105">
        <f t="shared" si="133"/>
        <v>0</v>
      </c>
      <c r="Q508" s="105">
        <f t="shared" si="133"/>
        <v>0</v>
      </c>
      <c r="R508" s="105">
        <f t="shared" si="133"/>
        <v>0</v>
      </c>
      <c r="S508" s="105">
        <f t="shared" si="133"/>
        <v>0</v>
      </c>
      <c r="T508" s="106">
        <f t="shared" si="133"/>
        <v>0</v>
      </c>
      <c r="U508" s="130"/>
      <c r="V508" s="1"/>
      <c r="W508" s="68">
        <f t="shared" ref="W508:AD508" si="134">SUBTOTAL(9,W487:W507)</f>
        <v>42129680</v>
      </c>
      <c r="X508" s="68">
        <f t="shared" si="134"/>
        <v>18275000</v>
      </c>
      <c r="Y508" s="68">
        <f t="shared" si="134"/>
        <v>0</v>
      </c>
      <c r="Z508" s="68">
        <f t="shared" si="134"/>
        <v>0</v>
      </c>
      <c r="AA508" s="68">
        <f t="shared" si="134"/>
        <v>0</v>
      </c>
      <c r="AB508" s="68">
        <f t="shared" si="134"/>
        <v>30089400</v>
      </c>
      <c r="AC508" s="69">
        <f t="shared" si="134"/>
        <v>90494080</v>
      </c>
      <c r="AD508" s="70">
        <f t="shared" si="134"/>
        <v>0</v>
      </c>
      <c r="AE508" s="63"/>
      <c r="AF508" s="72"/>
      <c r="AG508" s="63"/>
      <c r="AH508" s="23"/>
      <c r="AI508" s="60"/>
      <c r="AJ508" s="124"/>
      <c r="AK508" s="121"/>
      <c r="AL508" s="107"/>
      <c r="AM508" s="108"/>
      <c r="AN508" s="109"/>
      <c r="AO508" s="108"/>
      <c r="AP508" s="108"/>
      <c r="AQ508" s="108"/>
      <c r="AR508" s="108"/>
      <c r="AS508" s="108"/>
      <c r="AT508" s="108"/>
      <c r="AU508" s="108"/>
      <c r="AV508" s="108"/>
      <c r="AW508" s="108"/>
      <c r="AX508" s="108"/>
      <c r="AY508" s="108"/>
      <c r="AZ508" s="108"/>
      <c r="BA508" s="108"/>
      <c r="BB508" s="108"/>
      <c r="BC508" s="108"/>
      <c r="BD508" s="108"/>
      <c r="BE508" s="108"/>
      <c r="BF508" s="108"/>
      <c r="BG508" s="108"/>
      <c r="BH508" s="108"/>
      <c r="BI508" s="108"/>
      <c r="BJ508" s="108"/>
      <c r="BK508" s="108"/>
      <c r="BL508" s="108"/>
      <c r="BM508" s="108"/>
      <c r="BN508" s="108"/>
      <c r="BO508" s="108"/>
      <c r="BP508" s="108"/>
      <c r="BQ508" s="108"/>
      <c r="BR508" s="108"/>
      <c r="BS508" s="108"/>
      <c r="BT508" s="108"/>
      <c r="BU508" s="108"/>
      <c r="BV508" s="108"/>
      <c r="BW508" s="108"/>
      <c r="BX508" s="108"/>
      <c r="BY508" s="108"/>
      <c r="BZ508" s="108"/>
      <c r="CA508" s="108"/>
      <c r="CB508" s="108"/>
      <c r="CC508" s="108"/>
      <c r="CD508" s="108"/>
      <c r="CE508" s="108"/>
      <c r="CF508" s="108"/>
      <c r="CG508" s="108"/>
      <c r="CH508" s="108"/>
      <c r="CI508" s="108"/>
      <c r="CJ508" s="108"/>
      <c r="CK508" s="108"/>
      <c r="CL508" s="108"/>
      <c r="CM508" s="108"/>
      <c r="CN508" s="110"/>
      <c r="CO508" s="111"/>
      <c r="CP508" s="110"/>
      <c r="CQ508" s="111"/>
      <c r="CR508" s="110"/>
      <c r="CS508" s="111"/>
      <c r="CT508" s="112"/>
      <c r="CU508" s="113"/>
      <c r="CV508" s="114"/>
      <c r="CW508" s="115"/>
      <c r="CX508" s="116"/>
      <c r="CY508" s="117"/>
      <c r="CZ508" s="116"/>
      <c r="DA508" s="113"/>
      <c r="DB508" s="114"/>
      <c r="DC508" s="64"/>
      <c r="DD508" s="118"/>
    </row>
    <row r="509" spans="1:108" ht="45" outlineLevel="2">
      <c r="A509" s="178">
        <v>40275</v>
      </c>
      <c r="B509" s="82" t="s">
        <v>1378</v>
      </c>
      <c r="C509" s="82" t="s">
        <v>950</v>
      </c>
      <c r="D509" s="165" t="s">
        <v>1262</v>
      </c>
      <c r="E509" s="167"/>
      <c r="F509" s="66"/>
      <c r="G509" s="66"/>
      <c r="H509" s="66">
        <f>80*5</f>
        <v>400</v>
      </c>
      <c r="I509" s="66">
        <v>80</v>
      </c>
      <c r="J509" s="66"/>
      <c r="K509" s="66">
        <v>80</v>
      </c>
      <c r="L509" s="66"/>
      <c r="M509" s="66"/>
      <c r="N509" s="66"/>
      <c r="O509" s="66"/>
      <c r="P509" s="66"/>
      <c r="Q509" s="66"/>
      <c r="R509" s="66"/>
      <c r="S509" s="66"/>
      <c r="T509" s="67"/>
      <c r="U509" s="151"/>
      <c r="V509" s="1">
        <v>40310</v>
      </c>
      <c r="W509" s="68">
        <f t="shared" ref="W509:W540" si="135">CT509</f>
        <v>30760000</v>
      </c>
      <c r="X509" s="68">
        <f t="shared" ref="X509:X540" si="136">CX509</f>
        <v>6800000</v>
      </c>
      <c r="Y509" s="68">
        <f t="shared" ref="Y509:Y540" si="137">CZ509+DB509</f>
        <v>0</v>
      </c>
      <c r="Z509" s="68">
        <f t="shared" ref="Z509:Z540" si="138">CV509</f>
        <v>0</v>
      </c>
      <c r="AA509" s="68"/>
      <c r="AB509" s="68">
        <v>0</v>
      </c>
      <c r="AC509" s="69">
        <f t="shared" ref="AC509:AC540" si="139">W509+X509+Y509+Z509+AA509+AB509</f>
        <v>37560000</v>
      </c>
      <c r="AD509" s="70">
        <v>0</v>
      </c>
      <c r="AE509" s="63">
        <v>40290</v>
      </c>
      <c r="AF509" s="72">
        <v>96845</v>
      </c>
      <c r="AG509" s="63" t="s">
        <v>954</v>
      </c>
      <c r="AH509" s="23" t="s">
        <v>955</v>
      </c>
      <c r="AI509" s="60">
        <v>115</v>
      </c>
      <c r="AJ509" s="133" t="s">
        <v>415</v>
      </c>
      <c r="AK509" s="73" t="s">
        <v>1636</v>
      </c>
      <c r="AL509" s="3"/>
      <c r="AM509" s="4"/>
      <c r="AN509" s="5"/>
      <c r="AO509" s="4"/>
      <c r="AP509" s="4"/>
      <c r="AQ509" s="4"/>
      <c r="AR509" s="4"/>
      <c r="AS509" s="4"/>
      <c r="AT509" s="4"/>
      <c r="AU509" s="4"/>
      <c r="AV509" s="4"/>
      <c r="AW509" s="4"/>
      <c r="AX509" s="4"/>
      <c r="AY509" s="4"/>
      <c r="AZ509" s="4">
        <v>320</v>
      </c>
      <c r="BA509" s="4">
        <f>320*56000</f>
        <v>17920000</v>
      </c>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v>320</v>
      </c>
      <c r="CI509" s="4">
        <f>320*21500</f>
        <v>6880000</v>
      </c>
      <c r="CJ509" s="4"/>
      <c r="CK509" s="4"/>
      <c r="CL509" s="4"/>
      <c r="CM509" s="4"/>
      <c r="CN509" s="6">
        <v>80</v>
      </c>
      <c r="CO509" s="7">
        <f>80*38500</f>
        <v>3080000</v>
      </c>
      <c r="CP509" s="6">
        <v>80</v>
      </c>
      <c r="CQ509" s="7">
        <f>80*36000</f>
        <v>2880000</v>
      </c>
      <c r="CR509" s="6"/>
      <c r="CS509" s="7"/>
      <c r="CT509" s="8">
        <f t="shared" ref="CT509:CT540" si="140">AM509+AO509+AQ509+AS509+AU509+AW509+AY509+BA509+BC509+BE509+BG509+BI509+BK509+BM509+BO509+BQ509+BS509+BU509+BW509+BY509+CA509+CC509+CE509+CG509+CI509+CK509+CM509+CO509+CQ509+CS509</f>
        <v>30760000</v>
      </c>
      <c r="CU509" s="9"/>
      <c r="CV509" s="10"/>
      <c r="CW509" s="11">
        <v>80</v>
      </c>
      <c r="CX509" s="12">
        <f>80*85000</f>
        <v>6800000</v>
      </c>
      <c r="CY509" s="26"/>
      <c r="CZ509" s="12"/>
      <c r="DA509" s="9"/>
      <c r="DB509" s="10"/>
      <c r="DC509" s="64"/>
    </row>
    <row r="510" spans="1:108" ht="72" outlineLevel="2">
      <c r="A510" s="178">
        <v>40280</v>
      </c>
      <c r="B510" s="82" t="s">
        <v>1378</v>
      </c>
      <c r="C510" s="82" t="s">
        <v>1870</v>
      </c>
      <c r="D510" s="165" t="s">
        <v>1182</v>
      </c>
      <c r="E510" s="167"/>
      <c r="F510" s="66"/>
      <c r="G510" s="66"/>
      <c r="H510" s="66">
        <f>150*5</f>
        <v>750</v>
      </c>
      <c r="I510" s="66">
        <v>150</v>
      </c>
      <c r="J510" s="66"/>
      <c r="K510" s="66"/>
      <c r="L510" s="66"/>
      <c r="M510" s="66"/>
      <c r="N510" s="66">
        <v>5</v>
      </c>
      <c r="O510" s="66">
        <v>1</v>
      </c>
      <c r="P510" s="66"/>
      <c r="Q510" s="66"/>
      <c r="R510" s="66"/>
      <c r="S510" s="66"/>
      <c r="T510" s="67"/>
      <c r="U510" s="151"/>
      <c r="V510" s="1">
        <v>40380</v>
      </c>
      <c r="W510" s="68">
        <f t="shared" si="135"/>
        <v>0</v>
      </c>
      <c r="X510" s="68">
        <f t="shared" si="136"/>
        <v>0</v>
      </c>
      <c r="Y510" s="68">
        <f t="shared" si="137"/>
        <v>0</v>
      </c>
      <c r="Z510" s="68">
        <f t="shared" si="138"/>
        <v>0</v>
      </c>
      <c r="AA510" s="68"/>
      <c r="AB510" s="68">
        <v>60000000</v>
      </c>
      <c r="AC510" s="69">
        <f t="shared" si="139"/>
        <v>60000000</v>
      </c>
      <c r="AD510" s="70">
        <v>0</v>
      </c>
      <c r="AE510" s="63">
        <v>40282</v>
      </c>
      <c r="AF510" s="72">
        <v>34717</v>
      </c>
      <c r="AG510" s="63" t="s">
        <v>954</v>
      </c>
      <c r="AH510" s="23" t="s">
        <v>955</v>
      </c>
      <c r="AI510" s="60">
        <v>357</v>
      </c>
      <c r="AJ510" s="133" t="s">
        <v>1476</v>
      </c>
      <c r="AK510" s="73" t="s">
        <v>441</v>
      </c>
      <c r="AL510" s="3"/>
      <c r="AM510" s="4"/>
      <c r="AN510" s="5"/>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6"/>
      <c r="CO510" s="7"/>
      <c r="CP510" s="6"/>
      <c r="CQ510" s="7"/>
      <c r="CR510" s="6"/>
      <c r="CS510" s="7"/>
      <c r="CT510" s="8">
        <f t="shared" si="140"/>
        <v>0</v>
      </c>
      <c r="CU510" s="9"/>
      <c r="CV510" s="10"/>
      <c r="CW510" s="11"/>
      <c r="CX510" s="12"/>
      <c r="CY510" s="26"/>
      <c r="CZ510" s="12"/>
      <c r="DA510" s="9"/>
      <c r="DB510" s="10"/>
      <c r="DC510" s="64">
        <v>2</v>
      </c>
    </row>
    <row r="511" spans="1:108" ht="48" outlineLevel="2">
      <c r="A511" s="178">
        <v>40280</v>
      </c>
      <c r="B511" s="82" t="s">
        <v>1378</v>
      </c>
      <c r="C511" s="82" t="s">
        <v>545</v>
      </c>
      <c r="D511" s="165" t="s">
        <v>1262</v>
      </c>
      <c r="E511" s="167"/>
      <c r="F511" s="66"/>
      <c r="G511" s="66"/>
      <c r="H511" s="66">
        <f>215*5</f>
        <v>1075</v>
      </c>
      <c r="I511" s="66">
        <v>215</v>
      </c>
      <c r="J511" s="66"/>
      <c r="K511" s="66">
        <v>215</v>
      </c>
      <c r="L511" s="66"/>
      <c r="M511" s="66"/>
      <c r="N511" s="66"/>
      <c r="O511" s="66"/>
      <c r="P511" s="66"/>
      <c r="Q511" s="66"/>
      <c r="R511" s="66"/>
      <c r="S511" s="66"/>
      <c r="T511" s="67"/>
      <c r="U511" s="151"/>
      <c r="V511" s="1">
        <v>40333</v>
      </c>
      <c r="W511" s="68">
        <f t="shared" si="135"/>
        <v>23405000</v>
      </c>
      <c r="X511" s="68">
        <f t="shared" si="136"/>
        <v>17850000</v>
      </c>
      <c r="Y511" s="68">
        <f t="shared" si="137"/>
        <v>0</v>
      </c>
      <c r="Z511" s="68">
        <f t="shared" si="138"/>
        <v>0</v>
      </c>
      <c r="AA511" s="68"/>
      <c r="AB511" s="68">
        <v>0</v>
      </c>
      <c r="AC511" s="69">
        <f t="shared" si="139"/>
        <v>41255000</v>
      </c>
      <c r="AD511" s="70">
        <v>0</v>
      </c>
      <c r="AE511" s="63">
        <v>40318</v>
      </c>
      <c r="AF511" s="72">
        <v>97645</v>
      </c>
      <c r="AG511" s="63" t="s">
        <v>954</v>
      </c>
      <c r="AH511" s="23" t="s">
        <v>955</v>
      </c>
      <c r="AI511" s="60">
        <v>149</v>
      </c>
      <c r="AJ511" s="133" t="s">
        <v>415</v>
      </c>
      <c r="AK511" s="73" t="s">
        <v>546</v>
      </c>
      <c r="AL511" s="3"/>
      <c r="AM511" s="4"/>
      <c r="AN511" s="5"/>
      <c r="AO511" s="4"/>
      <c r="AP511" s="4"/>
      <c r="AQ511" s="4"/>
      <c r="AR511" s="4"/>
      <c r="AS511" s="4"/>
      <c r="AT511" s="4"/>
      <c r="AU511" s="4"/>
      <c r="AV511" s="4"/>
      <c r="AW511" s="4"/>
      <c r="AX511" s="4">
        <v>302</v>
      </c>
      <c r="AY511" s="4">
        <f>302*56000</f>
        <v>16912000</v>
      </c>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v>302</v>
      </c>
      <c r="CI511" s="4">
        <f>302*21500</f>
        <v>6493000</v>
      </c>
      <c r="CJ511" s="4"/>
      <c r="CK511" s="4"/>
      <c r="CL511" s="4"/>
      <c r="CM511" s="4"/>
      <c r="CN511" s="6"/>
      <c r="CO511" s="7"/>
      <c r="CP511" s="6"/>
      <c r="CQ511" s="7"/>
      <c r="CR511" s="6"/>
      <c r="CS511" s="7"/>
      <c r="CT511" s="8">
        <f t="shared" si="140"/>
        <v>23405000</v>
      </c>
      <c r="CU511" s="9"/>
      <c r="CV511" s="10"/>
      <c r="CW511" s="11">
        <v>210</v>
      </c>
      <c r="CX511" s="12">
        <f>210*85000</f>
        <v>17850000</v>
      </c>
      <c r="CY511" s="26"/>
      <c r="CZ511" s="12"/>
      <c r="DA511" s="9"/>
      <c r="DB511" s="10"/>
      <c r="DC511" s="64"/>
    </row>
    <row r="512" spans="1:108" ht="24" outlineLevel="2">
      <c r="A512" s="178">
        <v>40281</v>
      </c>
      <c r="B512" s="82" t="s">
        <v>1378</v>
      </c>
      <c r="C512" s="82" t="s">
        <v>950</v>
      </c>
      <c r="D512" s="165" t="s">
        <v>1200</v>
      </c>
      <c r="E512" s="167"/>
      <c r="F512" s="66"/>
      <c r="G512" s="66"/>
      <c r="H512" s="66"/>
      <c r="I512" s="66"/>
      <c r="J512" s="66"/>
      <c r="K512" s="66"/>
      <c r="L512" s="66"/>
      <c r="M512" s="66"/>
      <c r="N512" s="66">
        <v>1</v>
      </c>
      <c r="O512" s="66"/>
      <c r="P512" s="66"/>
      <c r="Q512" s="66"/>
      <c r="R512" s="66"/>
      <c r="S512" s="66"/>
      <c r="T512" s="67"/>
      <c r="U512" s="151"/>
      <c r="V512" s="1"/>
      <c r="W512" s="68">
        <f t="shared" si="135"/>
        <v>0</v>
      </c>
      <c r="X512" s="68">
        <f t="shared" si="136"/>
        <v>0</v>
      </c>
      <c r="Y512" s="68">
        <f t="shared" si="137"/>
        <v>0</v>
      </c>
      <c r="Z512" s="68">
        <f t="shared" si="138"/>
        <v>0</v>
      </c>
      <c r="AA512" s="68"/>
      <c r="AB512" s="68">
        <v>0</v>
      </c>
      <c r="AC512" s="69">
        <f t="shared" si="139"/>
        <v>0</v>
      </c>
      <c r="AD512" s="70">
        <v>0</v>
      </c>
      <c r="AE512" s="63">
        <v>40282</v>
      </c>
      <c r="AF512" s="72"/>
      <c r="AG512" s="63" t="s">
        <v>938</v>
      </c>
      <c r="AH512" s="23" t="s">
        <v>939</v>
      </c>
      <c r="AI512" s="60"/>
      <c r="AJ512" s="133" t="s">
        <v>1608</v>
      </c>
      <c r="AK512" s="73" t="s">
        <v>1080</v>
      </c>
      <c r="AL512" s="3"/>
      <c r="AM512" s="4"/>
      <c r="AN512" s="5"/>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6"/>
      <c r="CO512" s="7"/>
      <c r="CP512" s="6"/>
      <c r="CQ512" s="7"/>
      <c r="CR512" s="6"/>
      <c r="CS512" s="7"/>
      <c r="CT512" s="8">
        <f t="shared" si="140"/>
        <v>0</v>
      </c>
      <c r="CU512" s="9"/>
      <c r="CV512" s="10"/>
      <c r="CW512" s="11"/>
      <c r="CX512" s="12"/>
      <c r="CY512" s="26"/>
      <c r="CZ512" s="12"/>
      <c r="DA512" s="9"/>
      <c r="DB512" s="10"/>
      <c r="DC512" s="64"/>
    </row>
    <row r="513" spans="1:108" ht="72" outlineLevel="2">
      <c r="A513" s="178">
        <v>40283</v>
      </c>
      <c r="B513" s="82" t="s">
        <v>1378</v>
      </c>
      <c r="C513" s="82" t="s">
        <v>1135</v>
      </c>
      <c r="D513" s="165" t="s">
        <v>1182</v>
      </c>
      <c r="E513" s="167"/>
      <c r="F513" s="66"/>
      <c r="G513" s="66"/>
      <c r="H513" s="66">
        <v>150</v>
      </c>
      <c r="I513" s="66">
        <v>30</v>
      </c>
      <c r="J513" s="66"/>
      <c r="K513" s="66">
        <v>8</v>
      </c>
      <c r="L513" s="66"/>
      <c r="M513" s="66"/>
      <c r="N513" s="66"/>
      <c r="O513" s="66"/>
      <c r="P513" s="66"/>
      <c r="Q513" s="66"/>
      <c r="R513" s="66"/>
      <c r="S513" s="66"/>
      <c r="T513" s="67"/>
      <c r="U513" s="151"/>
      <c r="V513" s="1">
        <v>40513</v>
      </c>
      <c r="W513" s="68">
        <f t="shared" si="135"/>
        <v>0</v>
      </c>
      <c r="X513" s="68">
        <f t="shared" si="136"/>
        <v>0</v>
      </c>
      <c r="Y513" s="68">
        <f t="shared" si="137"/>
        <v>0</v>
      </c>
      <c r="Z513" s="68">
        <f t="shared" si="138"/>
        <v>0</v>
      </c>
      <c r="AA513" s="68"/>
      <c r="AB513" s="68">
        <v>73350000</v>
      </c>
      <c r="AC513" s="69">
        <f t="shared" si="139"/>
        <v>73350000</v>
      </c>
      <c r="AD513" s="70">
        <v>0</v>
      </c>
      <c r="AE513" s="63">
        <v>40284</v>
      </c>
      <c r="AF513" s="72">
        <v>53030</v>
      </c>
      <c r="AG513" s="63" t="s">
        <v>954</v>
      </c>
      <c r="AH513" s="23" t="s">
        <v>955</v>
      </c>
      <c r="AI513" s="60">
        <v>44928</v>
      </c>
      <c r="AJ513" s="133" t="s">
        <v>1476</v>
      </c>
      <c r="AK513" s="81" t="s">
        <v>2085</v>
      </c>
      <c r="AL513" s="3"/>
      <c r="AM513" s="4"/>
      <c r="AN513" s="5"/>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6"/>
      <c r="CO513" s="7"/>
      <c r="CP513" s="6"/>
      <c r="CQ513" s="7"/>
      <c r="CR513" s="6"/>
      <c r="CS513" s="7"/>
      <c r="CT513" s="8">
        <f t="shared" si="140"/>
        <v>0</v>
      </c>
      <c r="CU513" s="9"/>
      <c r="CV513" s="10"/>
      <c r="CW513" s="11"/>
      <c r="CX513" s="12"/>
      <c r="CY513" s="26"/>
      <c r="CZ513" s="12"/>
      <c r="DA513" s="9"/>
      <c r="DB513" s="10"/>
      <c r="DC513" s="64">
        <v>2</v>
      </c>
    </row>
    <row r="514" spans="1:108" ht="48" outlineLevel="2">
      <c r="A514" s="178">
        <v>40287</v>
      </c>
      <c r="B514" s="82" t="s">
        <v>1378</v>
      </c>
      <c r="C514" s="82" t="s">
        <v>950</v>
      </c>
      <c r="D514" s="165" t="s">
        <v>1262</v>
      </c>
      <c r="E514" s="167"/>
      <c r="F514" s="66"/>
      <c r="G514" s="66"/>
      <c r="H514" s="66">
        <f>40*5</f>
        <v>200</v>
      </c>
      <c r="I514" s="66">
        <v>40</v>
      </c>
      <c r="J514" s="66"/>
      <c r="K514" s="66">
        <v>40</v>
      </c>
      <c r="L514" s="66"/>
      <c r="M514" s="66"/>
      <c r="N514" s="66"/>
      <c r="O514" s="66"/>
      <c r="P514" s="66"/>
      <c r="Q514" s="66"/>
      <c r="R514" s="66">
        <v>1</v>
      </c>
      <c r="S514" s="66"/>
      <c r="T514" s="67"/>
      <c r="U514" s="151"/>
      <c r="V514" s="1">
        <v>40310</v>
      </c>
      <c r="W514" s="68">
        <f t="shared" si="135"/>
        <v>12280000</v>
      </c>
      <c r="X514" s="68">
        <f t="shared" si="136"/>
        <v>3400000</v>
      </c>
      <c r="Y514" s="68">
        <f t="shared" si="137"/>
        <v>0</v>
      </c>
      <c r="Z514" s="68">
        <f t="shared" si="138"/>
        <v>0</v>
      </c>
      <c r="AA514" s="68"/>
      <c r="AB514" s="68">
        <v>0</v>
      </c>
      <c r="AC514" s="69">
        <f t="shared" si="139"/>
        <v>15680000</v>
      </c>
      <c r="AD514" s="70">
        <v>0</v>
      </c>
      <c r="AE514" s="63">
        <v>40290</v>
      </c>
      <c r="AF514" s="72">
        <v>96845</v>
      </c>
      <c r="AG514" s="63" t="s">
        <v>954</v>
      </c>
      <c r="AH514" s="23" t="s">
        <v>955</v>
      </c>
      <c r="AI514" s="60">
        <v>115</v>
      </c>
      <c r="AJ514" s="133" t="s">
        <v>415</v>
      </c>
      <c r="AK514" s="73" t="s">
        <v>1635</v>
      </c>
      <c r="AL514" s="3"/>
      <c r="AM514" s="4"/>
      <c r="AN514" s="5"/>
      <c r="AO514" s="4"/>
      <c r="AP514" s="4"/>
      <c r="AQ514" s="4"/>
      <c r="AR514" s="4"/>
      <c r="AS514" s="4"/>
      <c r="AT514" s="4"/>
      <c r="AU514" s="4"/>
      <c r="AV514" s="4"/>
      <c r="AW514" s="4"/>
      <c r="AX514" s="4"/>
      <c r="AY514" s="4"/>
      <c r="AZ514" s="4">
        <v>120</v>
      </c>
      <c r="BA514" s="4">
        <f>120*56000</f>
        <v>6720000</v>
      </c>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v>120</v>
      </c>
      <c r="CI514" s="4">
        <f>120*21500</f>
        <v>2580000</v>
      </c>
      <c r="CJ514" s="4"/>
      <c r="CK514" s="4"/>
      <c r="CL514" s="4"/>
      <c r="CM514" s="4"/>
      <c r="CN514" s="6">
        <v>40</v>
      </c>
      <c r="CO514" s="7">
        <f>40*38500</f>
        <v>1540000</v>
      </c>
      <c r="CP514" s="6">
        <v>40</v>
      </c>
      <c r="CQ514" s="7">
        <f>40*36000</f>
        <v>1440000</v>
      </c>
      <c r="CR514" s="6"/>
      <c r="CS514" s="7"/>
      <c r="CT514" s="8">
        <f t="shared" si="140"/>
        <v>12280000</v>
      </c>
      <c r="CU514" s="9"/>
      <c r="CV514" s="10"/>
      <c r="CW514" s="11">
        <v>40</v>
      </c>
      <c r="CX514" s="12">
        <f>40*85000</f>
        <v>3400000</v>
      </c>
      <c r="CY514" s="26"/>
      <c r="CZ514" s="12"/>
      <c r="DA514" s="9"/>
      <c r="DB514" s="10"/>
      <c r="DC514" s="64"/>
    </row>
    <row r="515" spans="1:108" ht="45" outlineLevel="2">
      <c r="A515" s="178">
        <v>40302</v>
      </c>
      <c r="B515" s="82" t="s">
        <v>1378</v>
      </c>
      <c r="C515" s="82" t="s">
        <v>583</v>
      </c>
      <c r="D515" s="165" t="s">
        <v>1262</v>
      </c>
      <c r="E515" s="167"/>
      <c r="F515" s="66"/>
      <c r="G515" s="66"/>
      <c r="H515" s="66">
        <f>300*5</f>
        <v>1500</v>
      </c>
      <c r="I515" s="66">
        <v>300</v>
      </c>
      <c r="J515" s="66"/>
      <c r="K515" s="66"/>
      <c r="L515" s="66">
        <v>2</v>
      </c>
      <c r="M515" s="66"/>
      <c r="N515" s="66"/>
      <c r="O515" s="66"/>
      <c r="P515" s="66"/>
      <c r="Q515" s="66"/>
      <c r="R515" s="66">
        <v>2</v>
      </c>
      <c r="S515" s="66"/>
      <c r="T515" s="67"/>
      <c r="U515" s="151"/>
      <c r="V515" s="1">
        <v>40448</v>
      </c>
      <c r="W515" s="68">
        <f t="shared" si="135"/>
        <v>45450000</v>
      </c>
      <c r="X515" s="68">
        <f t="shared" si="136"/>
        <v>25500000</v>
      </c>
      <c r="Y515" s="68">
        <f t="shared" si="137"/>
        <v>11826000</v>
      </c>
      <c r="Z515" s="68">
        <f t="shared" si="138"/>
        <v>0</v>
      </c>
      <c r="AA515" s="68"/>
      <c r="AB515" s="68">
        <v>0</v>
      </c>
      <c r="AC515" s="69">
        <f t="shared" si="139"/>
        <v>82776000</v>
      </c>
      <c r="AD515" s="70">
        <v>0</v>
      </c>
      <c r="AE515" s="63">
        <v>40388</v>
      </c>
      <c r="AF515" s="72">
        <v>37735</v>
      </c>
      <c r="AG515" s="63" t="s">
        <v>954</v>
      </c>
      <c r="AH515" s="23" t="s">
        <v>955</v>
      </c>
      <c r="AI515" s="75" t="s">
        <v>786</v>
      </c>
      <c r="AJ515" s="133" t="s">
        <v>415</v>
      </c>
      <c r="AK515" s="73" t="s">
        <v>1971</v>
      </c>
      <c r="AL515" s="3"/>
      <c r="AM515" s="4"/>
      <c r="AN515" s="5"/>
      <c r="AO515" s="4"/>
      <c r="AP515" s="4"/>
      <c r="AQ515" s="4"/>
      <c r="AR515" s="4"/>
      <c r="AS515" s="4"/>
      <c r="AT515" s="4"/>
      <c r="AU515" s="4"/>
      <c r="AV515" s="4"/>
      <c r="AW515" s="4"/>
      <c r="AX515" s="4">
        <v>300</v>
      </c>
      <c r="AY515" s="4">
        <f>300*56000</f>
        <v>16800000</v>
      </c>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v>300</v>
      </c>
      <c r="CI515" s="4">
        <f>300*21000</f>
        <v>6300000</v>
      </c>
      <c r="CJ515" s="4"/>
      <c r="CK515" s="4"/>
      <c r="CL515" s="4"/>
      <c r="CM515" s="4"/>
      <c r="CN515" s="6">
        <v>300</v>
      </c>
      <c r="CO515" s="7">
        <f>300*38500</f>
        <v>11550000</v>
      </c>
      <c r="CP515" s="6">
        <v>300</v>
      </c>
      <c r="CQ515" s="7">
        <f>300*36000</f>
        <v>10800000</v>
      </c>
      <c r="CR515" s="6"/>
      <c r="CS515" s="7"/>
      <c r="CT515" s="8">
        <f t="shared" si="140"/>
        <v>45450000</v>
      </c>
      <c r="CU515" s="9"/>
      <c r="CV515" s="10"/>
      <c r="CW515" s="11">
        <v>300</v>
      </c>
      <c r="CX515" s="12">
        <f>300*85000</f>
        <v>25500000</v>
      </c>
      <c r="CY515" s="26"/>
      <c r="CZ515" s="12"/>
      <c r="DA515" s="9">
        <v>500</v>
      </c>
      <c r="DB515" s="10">
        <f>500*23652</f>
        <v>11826000</v>
      </c>
      <c r="DC515" s="64"/>
    </row>
    <row r="516" spans="1:108" ht="45" outlineLevel="2">
      <c r="A516" s="178">
        <v>40318</v>
      </c>
      <c r="B516" s="82" t="s">
        <v>1378</v>
      </c>
      <c r="C516" s="82" t="s">
        <v>1106</v>
      </c>
      <c r="D516" s="165" t="s">
        <v>1262</v>
      </c>
      <c r="E516" s="167"/>
      <c r="F516" s="66"/>
      <c r="G516" s="66"/>
      <c r="H516" s="66">
        <v>1000</v>
      </c>
      <c r="I516" s="66">
        <v>200</v>
      </c>
      <c r="J516" s="66"/>
      <c r="K516" s="66">
        <v>200</v>
      </c>
      <c r="L516" s="66"/>
      <c r="M516" s="66"/>
      <c r="N516" s="66"/>
      <c r="O516" s="66"/>
      <c r="P516" s="66"/>
      <c r="Q516" s="66"/>
      <c r="R516" s="66"/>
      <c r="S516" s="66"/>
      <c r="T516" s="67"/>
      <c r="U516" s="151"/>
      <c r="V516" s="1">
        <v>40333</v>
      </c>
      <c r="W516" s="68">
        <f t="shared" si="135"/>
        <v>23000000</v>
      </c>
      <c r="X516" s="68">
        <f t="shared" si="136"/>
        <v>34000000</v>
      </c>
      <c r="Y516" s="68">
        <f t="shared" si="137"/>
        <v>0</v>
      </c>
      <c r="Z516" s="68">
        <f t="shared" si="138"/>
        <v>0</v>
      </c>
      <c r="AA516" s="68"/>
      <c r="AB516" s="68">
        <v>0</v>
      </c>
      <c r="AC516" s="69">
        <f t="shared" si="139"/>
        <v>57000000</v>
      </c>
      <c r="AD516" s="70">
        <v>0</v>
      </c>
      <c r="AE516" s="63">
        <v>40318</v>
      </c>
      <c r="AF516" s="72">
        <v>97636</v>
      </c>
      <c r="AG516" s="63" t="s">
        <v>954</v>
      </c>
      <c r="AH516" s="23" t="s">
        <v>955</v>
      </c>
      <c r="AI516" s="60">
        <v>140</v>
      </c>
      <c r="AJ516" s="133" t="s">
        <v>415</v>
      </c>
      <c r="AK516" s="73" t="s">
        <v>1412</v>
      </c>
      <c r="AL516" s="3"/>
      <c r="AM516" s="4"/>
      <c r="AN516" s="5"/>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v>400</v>
      </c>
      <c r="CI516" s="4">
        <f>400*21000</f>
        <v>8400000</v>
      </c>
      <c r="CJ516" s="4"/>
      <c r="CK516" s="4"/>
      <c r="CL516" s="4"/>
      <c r="CM516" s="4"/>
      <c r="CN516" s="6">
        <v>200</v>
      </c>
      <c r="CO516" s="7">
        <f>200*37000</f>
        <v>7400000</v>
      </c>
      <c r="CP516" s="6">
        <v>200</v>
      </c>
      <c r="CQ516" s="7">
        <f>200*36000</f>
        <v>7200000</v>
      </c>
      <c r="CR516" s="6"/>
      <c r="CS516" s="7"/>
      <c r="CT516" s="8">
        <f t="shared" si="140"/>
        <v>23000000</v>
      </c>
      <c r="CU516" s="9"/>
      <c r="CV516" s="10"/>
      <c r="CW516" s="11">
        <v>400</v>
      </c>
      <c r="CX516" s="12">
        <f>400*85000</f>
        <v>34000000</v>
      </c>
      <c r="CY516" s="26"/>
      <c r="CZ516" s="12"/>
      <c r="DA516" s="9"/>
      <c r="DB516" s="10"/>
      <c r="DC516" s="64"/>
    </row>
    <row r="517" spans="1:108" ht="36" outlineLevel="2">
      <c r="A517" s="178">
        <v>40322</v>
      </c>
      <c r="B517" s="82" t="s">
        <v>1378</v>
      </c>
      <c r="C517" s="82" t="s">
        <v>1379</v>
      </c>
      <c r="D517" s="165" t="s">
        <v>435</v>
      </c>
      <c r="E517" s="167"/>
      <c r="F517" s="66"/>
      <c r="G517" s="66"/>
      <c r="H517" s="66">
        <v>340</v>
      </c>
      <c r="I517" s="66">
        <v>68</v>
      </c>
      <c r="J517" s="66">
        <v>10</v>
      </c>
      <c r="K517" s="66">
        <v>58</v>
      </c>
      <c r="L517" s="66"/>
      <c r="M517" s="66"/>
      <c r="N517" s="66"/>
      <c r="O517" s="66"/>
      <c r="P517" s="66"/>
      <c r="Q517" s="66"/>
      <c r="R517" s="66"/>
      <c r="S517" s="66"/>
      <c r="T517" s="67"/>
      <c r="U517" s="151"/>
      <c r="V517" s="1">
        <v>40448</v>
      </c>
      <c r="W517" s="68">
        <f t="shared" si="135"/>
        <v>13525000</v>
      </c>
      <c r="X517" s="68">
        <f t="shared" si="136"/>
        <v>0</v>
      </c>
      <c r="Y517" s="68">
        <f t="shared" si="137"/>
        <v>24480600</v>
      </c>
      <c r="Z517" s="68">
        <f t="shared" si="138"/>
        <v>0</v>
      </c>
      <c r="AA517" s="68"/>
      <c r="AB517" s="68">
        <v>0</v>
      </c>
      <c r="AC517" s="69">
        <f t="shared" si="139"/>
        <v>38005600</v>
      </c>
      <c r="AD517" s="70">
        <v>0</v>
      </c>
      <c r="AE517" s="63">
        <v>40323</v>
      </c>
      <c r="AF517" s="72">
        <v>31295</v>
      </c>
      <c r="AG517" s="63" t="s">
        <v>954</v>
      </c>
      <c r="AH517" s="23" t="s">
        <v>955</v>
      </c>
      <c r="AI517" s="60"/>
      <c r="AJ517" s="133" t="s">
        <v>1573</v>
      </c>
      <c r="AK517" s="73" t="s">
        <v>1722</v>
      </c>
      <c r="AL517" s="3"/>
      <c r="AM517" s="4"/>
      <c r="AN517" s="5"/>
      <c r="AO517" s="4"/>
      <c r="AP517" s="4"/>
      <c r="AQ517" s="4"/>
      <c r="AR517" s="4"/>
      <c r="AS517" s="4"/>
      <c r="AT517" s="4"/>
      <c r="AU517" s="4"/>
      <c r="AV517" s="4"/>
      <c r="AW517" s="4"/>
      <c r="AX517" s="4">
        <v>100</v>
      </c>
      <c r="AY517" s="4">
        <f>100*56000</f>
        <v>5600000</v>
      </c>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v>200</v>
      </c>
      <c r="CI517" s="4">
        <f>200*21000</f>
        <v>4200000</v>
      </c>
      <c r="CJ517" s="4"/>
      <c r="CK517" s="4"/>
      <c r="CL517" s="4"/>
      <c r="CM517" s="4"/>
      <c r="CN517" s="6">
        <v>50</v>
      </c>
      <c r="CO517" s="7">
        <f>50*38500</f>
        <v>1925000</v>
      </c>
      <c r="CP517" s="6">
        <v>50</v>
      </c>
      <c r="CQ517" s="7">
        <f>50*36000</f>
        <v>1800000</v>
      </c>
      <c r="CR517" s="6"/>
      <c r="CS517" s="7"/>
      <c r="CT517" s="8">
        <f t="shared" si="140"/>
        <v>13525000</v>
      </c>
      <c r="CU517" s="9"/>
      <c r="CV517" s="10"/>
      <c r="CW517" s="11"/>
      <c r="CX517" s="12"/>
      <c r="CY517" s="26"/>
      <c r="CZ517" s="12"/>
      <c r="DA517" s="9">
        <f>400+600</f>
        <v>1000</v>
      </c>
      <c r="DB517" s="10">
        <f>400*23652+600*25033</f>
        <v>24480600</v>
      </c>
      <c r="DC517" s="64"/>
    </row>
    <row r="518" spans="1:108" ht="45" outlineLevel="2">
      <c r="A518" s="178">
        <v>40352</v>
      </c>
      <c r="B518" s="164" t="s">
        <v>1378</v>
      </c>
      <c r="C518" s="164" t="s">
        <v>774</v>
      </c>
      <c r="D518" s="166" t="s">
        <v>1262</v>
      </c>
      <c r="E518" s="163"/>
      <c r="F518" s="105"/>
      <c r="G518" s="105"/>
      <c r="H518" s="105">
        <f>95*5</f>
        <v>475</v>
      </c>
      <c r="I518" s="105">
        <v>95</v>
      </c>
      <c r="J518" s="105"/>
      <c r="K518" s="105">
        <v>95</v>
      </c>
      <c r="L518" s="105"/>
      <c r="M518" s="105"/>
      <c r="N518" s="105"/>
      <c r="O518" s="105"/>
      <c r="P518" s="105"/>
      <c r="Q518" s="105"/>
      <c r="R518" s="105"/>
      <c r="S518" s="105"/>
      <c r="T518" s="106"/>
      <c r="U518" s="130"/>
      <c r="V518" s="1">
        <v>40514</v>
      </c>
      <c r="W518" s="68">
        <f t="shared" si="135"/>
        <v>7029933.5</v>
      </c>
      <c r="X518" s="68">
        <f t="shared" si="136"/>
        <v>8074853.7000000002</v>
      </c>
      <c r="Y518" s="68">
        <f t="shared" si="137"/>
        <v>3999988</v>
      </c>
      <c r="Z518" s="68">
        <f t="shared" si="138"/>
        <v>0</v>
      </c>
      <c r="AA518" s="68"/>
      <c r="AB518" s="68">
        <v>0</v>
      </c>
      <c r="AC518" s="69">
        <f t="shared" si="139"/>
        <v>19104775.199999999</v>
      </c>
      <c r="AD518" s="70">
        <v>0</v>
      </c>
      <c r="AE518" s="63">
        <v>40477</v>
      </c>
      <c r="AF518" s="72">
        <v>58951</v>
      </c>
      <c r="AG518" s="63" t="s">
        <v>954</v>
      </c>
      <c r="AH518" s="23" t="s">
        <v>955</v>
      </c>
      <c r="AI518" s="60">
        <v>25682</v>
      </c>
      <c r="AJ518" s="124" t="s">
        <v>415</v>
      </c>
      <c r="AK518" s="121" t="s">
        <v>1824</v>
      </c>
      <c r="AL518" s="107"/>
      <c r="AM518" s="108"/>
      <c r="AN518" s="109"/>
      <c r="AO518" s="108"/>
      <c r="AP518" s="108"/>
      <c r="AQ518" s="108"/>
      <c r="AR518" s="108"/>
      <c r="AS518" s="108"/>
      <c r="AT518" s="108"/>
      <c r="AU518" s="108"/>
      <c r="AV518" s="108"/>
      <c r="AW518" s="108"/>
      <c r="AX518" s="108"/>
      <c r="AY518" s="108"/>
      <c r="AZ518" s="108"/>
      <c r="BA518" s="108"/>
      <c r="BB518" s="108"/>
      <c r="BC518" s="108"/>
      <c r="BD518" s="108"/>
      <c r="BE518" s="108"/>
      <c r="BF518" s="108"/>
      <c r="BG518" s="108"/>
      <c r="BH518" s="108"/>
      <c r="BI518" s="108"/>
      <c r="BJ518" s="108"/>
      <c r="BK518" s="108"/>
      <c r="BL518" s="108"/>
      <c r="BM518" s="108"/>
      <c r="BN518" s="108"/>
      <c r="BO518" s="108"/>
      <c r="BP518" s="108"/>
      <c r="BQ518" s="108"/>
      <c r="BR518" s="108"/>
      <c r="BS518" s="108"/>
      <c r="BT518" s="108"/>
      <c r="BU518" s="108"/>
      <c r="BV518" s="108"/>
      <c r="BW518" s="108"/>
      <c r="BX518" s="108"/>
      <c r="BY518" s="108"/>
      <c r="BZ518" s="108"/>
      <c r="CA518" s="108"/>
      <c r="CB518" s="108"/>
      <c r="CC518" s="108"/>
      <c r="CD518" s="108"/>
      <c r="CE518" s="108"/>
      <c r="CF518" s="108"/>
      <c r="CG518" s="108"/>
      <c r="CH518" s="108"/>
      <c r="CI518" s="108"/>
      <c r="CJ518" s="108"/>
      <c r="CK518" s="108"/>
      <c r="CL518" s="108"/>
      <c r="CM518" s="108"/>
      <c r="CN518" s="110">
        <v>95</v>
      </c>
      <c r="CO518" s="111">
        <f>95*37999.86</f>
        <v>3609986.7</v>
      </c>
      <c r="CP518" s="110">
        <v>95</v>
      </c>
      <c r="CQ518" s="111">
        <f>95*35999.44</f>
        <v>3419946.8000000003</v>
      </c>
      <c r="CR518" s="110"/>
      <c r="CS518" s="111"/>
      <c r="CT518" s="112">
        <f t="shared" si="140"/>
        <v>7029933.5</v>
      </c>
      <c r="CU518" s="113"/>
      <c r="CV518" s="114"/>
      <c r="CW518" s="115">
        <v>95</v>
      </c>
      <c r="CX518" s="116">
        <f>95*84998.46</f>
        <v>8074853.7000000002</v>
      </c>
      <c r="CY518" s="117"/>
      <c r="CZ518" s="116"/>
      <c r="DA518" s="113">
        <v>200</v>
      </c>
      <c r="DB518" s="114">
        <f>200*18999.98+800*249.99</f>
        <v>3999988</v>
      </c>
      <c r="DC518" s="64"/>
      <c r="DD518" s="118">
        <v>1363</v>
      </c>
    </row>
    <row r="519" spans="1:108" ht="48" outlineLevel="2">
      <c r="A519" s="178">
        <v>40353</v>
      </c>
      <c r="B519" s="82" t="s">
        <v>1378</v>
      </c>
      <c r="C519" s="82" t="s">
        <v>1959</v>
      </c>
      <c r="D519" s="165" t="s">
        <v>1182</v>
      </c>
      <c r="E519" s="167"/>
      <c r="F519" s="66"/>
      <c r="G519" s="66"/>
      <c r="H519" s="66"/>
      <c r="I519" s="66"/>
      <c r="J519" s="66"/>
      <c r="K519" s="66"/>
      <c r="L519" s="66">
        <v>4</v>
      </c>
      <c r="M519" s="66"/>
      <c r="N519" s="66"/>
      <c r="O519" s="66"/>
      <c r="P519" s="66"/>
      <c r="Q519" s="66"/>
      <c r="R519" s="66"/>
      <c r="S519" s="66"/>
      <c r="T519" s="67"/>
      <c r="U519" s="151"/>
      <c r="V519" s="1"/>
      <c r="W519" s="68">
        <f t="shared" si="135"/>
        <v>0</v>
      </c>
      <c r="X519" s="68">
        <f t="shared" si="136"/>
        <v>0</v>
      </c>
      <c r="Y519" s="68">
        <f t="shared" si="137"/>
        <v>0</v>
      </c>
      <c r="Z519" s="68">
        <f t="shared" si="138"/>
        <v>0</v>
      </c>
      <c r="AA519" s="68"/>
      <c r="AB519" s="68">
        <v>0</v>
      </c>
      <c r="AC519" s="69">
        <f t="shared" si="139"/>
        <v>0</v>
      </c>
      <c r="AD519" s="70">
        <v>0</v>
      </c>
      <c r="AE519" s="63">
        <v>40360</v>
      </c>
      <c r="AF519" s="72"/>
      <c r="AG519" s="63" t="s">
        <v>938</v>
      </c>
      <c r="AH519" s="23" t="s">
        <v>939</v>
      </c>
      <c r="AI519" s="60"/>
      <c r="AJ519" s="133" t="s">
        <v>1608</v>
      </c>
      <c r="AK519" s="74" t="s">
        <v>857</v>
      </c>
      <c r="AL519" s="84"/>
      <c r="AM519" s="4"/>
      <c r="AN519" s="5"/>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6"/>
      <c r="CO519" s="7"/>
      <c r="CP519" s="6"/>
      <c r="CQ519" s="7"/>
      <c r="CR519" s="6"/>
      <c r="CS519" s="7"/>
      <c r="CT519" s="8">
        <f t="shared" si="140"/>
        <v>0</v>
      </c>
      <c r="CU519" s="9"/>
      <c r="CV519" s="10"/>
      <c r="CW519" s="11"/>
      <c r="CX519" s="12"/>
      <c r="CY519" s="26"/>
      <c r="CZ519" s="12"/>
      <c r="DA519" s="9"/>
      <c r="DB519" s="10"/>
      <c r="DC519" s="64"/>
      <c r="DD519" s="22">
        <v>1136</v>
      </c>
    </row>
    <row r="520" spans="1:108" ht="24" outlineLevel="2">
      <c r="A520" s="178">
        <v>40354</v>
      </c>
      <c r="B520" s="164" t="s">
        <v>1378</v>
      </c>
      <c r="C520" s="164" t="s">
        <v>804</v>
      </c>
      <c r="D520" s="166" t="s">
        <v>1262</v>
      </c>
      <c r="E520" s="163"/>
      <c r="F520" s="105"/>
      <c r="G520" s="105"/>
      <c r="H520" s="105">
        <f>16*5</f>
        <v>80</v>
      </c>
      <c r="I520" s="105">
        <v>16</v>
      </c>
      <c r="J520" s="105"/>
      <c r="K520" s="105">
        <v>16</v>
      </c>
      <c r="L520" s="105"/>
      <c r="M520" s="105"/>
      <c r="N520" s="105"/>
      <c r="O520" s="105"/>
      <c r="P520" s="105"/>
      <c r="Q520" s="105"/>
      <c r="R520" s="105"/>
      <c r="S520" s="105"/>
      <c r="T520" s="106"/>
      <c r="U520" s="130"/>
      <c r="V520" s="1">
        <v>40515</v>
      </c>
      <c r="W520" s="68">
        <f t="shared" si="135"/>
        <v>0</v>
      </c>
      <c r="X520" s="68">
        <f t="shared" si="136"/>
        <v>0</v>
      </c>
      <c r="Y520" s="68">
        <f t="shared" si="137"/>
        <v>9999970</v>
      </c>
      <c r="Z520" s="68">
        <f t="shared" si="138"/>
        <v>0</v>
      </c>
      <c r="AA520" s="68"/>
      <c r="AB520" s="68">
        <v>0</v>
      </c>
      <c r="AC520" s="69">
        <f t="shared" si="139"/>
        <v>9999970</v>
      </c>
      <c r="AD520" s="70">
        <v>0</v>
      </c>
      <c r="AE520" s="63">
        <v>40445</v>
      </c>
      <c r="AF520" s="72">
        <v>51102</v>
      </c>
      <c r="AG520" s="63" t="s">
        <v>954</v>
      </c>
      <c r="AH520" s="23" t="s">
        <v>955</v>
      </c>
      <c r="AI520" s="60">
        <v>25682</v>
      </c>
      <c r="AJ520" s="124" t="s">
        <v>1476</v>
      </c>
      <c r="AK520" s="121" t="s">
        <v>1825</v>
      </c>
      <c r="AL520" s="107"/>
      <c r="AM520" s="108"/>
      <c r="AN520" s="109"/>
      <c r="AO520" s="108"/>
      <c r="AP520" s="108"/>
      <c r="AQ520" s="108"/>
      <c r="AR520" s="108"/>
      <c r="AS520" s="108"/>
      <c r="AT520" s="108"/>
      <c r="AU520" s="108"/>
      <c r="AV520" s="108"/>
      <c r="AW520" s="108"/>
      <c r="AX520" s="108"/>
      <c r="AY520" s="108"/>
      <c r="AZ520" s="108"/>
      <c r="BA520" s="108"/>
      <c r="BB520" s="108"/>
      <c r="BC520" s="108"/>
      <c r="BD520" s="108"/>
      <c r="BE520" s="108"/>
      <c r="BF520" s="108"/>
      <c r="BG520" s="108"/>
      <c r="BH520" s="108"/>
      <c r="BI520" s="108"/>
      <c r="BJ520" s="108"/>
      <c r="BK520" s="108"/>
      <c r="BL520" s="108"/>
      <c r="BM520" s="108"/>
      <c r="BN520" s="108"/>
      <c r="BO520" s="108"/>
      <c r="BP520" s="108"/>
      <c r="BQ520" s="108"/>
      <c r="BR520" s="108"/>
      <c r="BS520" s="108"/>
      <c r="BT520" s="108"/>
      <c r="BU520" s="108"/>
      <c r="BV520" s="108"/>
      <c r="BW520" s="108"/>
      <c r="BX520" s="108"/>
      <c r="BY520" s="108"/>
      <c r="BZ520" s="108"/>
      <c r="CA520" s="108"/>
      <c r="CB520" s="108"/>
      <c r="CC520" s="108"/>
      <c r="CD520" s="108"/>
      <c r="CE520" s="108"/>
      <c r="CF520" s="108"/>
      <c r="CG520" s="108"/>
      <c r="CH520" s="108"/>
      <c r="CI520" s="108"/>
      <c r="CJ520" s="108"/>
      <c r="CK520" s="108"/>
      <c r="CL520" s="108"/>
      <c r="CM520" s="108"/>
      <c r="CN520" s="110"/>
      <c r="CO520" s="111"/>
      <c r="CP520" s="110"/>
      <c r="CQ520" s="111"/>
      <c r="CR520" s="110"/>
      <c r="CS520" s="111"/>
      <c r="CT520" s="112">
        <f t="shared" si="140"/>
        <v>0</v>
      </c>
      <c r="CU520" s="113"/>
      <c r="CV520" s="114"/>
      <c r="CW520" s="115"/>
      <c r="CX520" s="116"/>
      <c r="CY520" s="117"/>
      <c r="CZ520" s="116"/>
      <c r="DA520" s="113">
        <v>500</v>
      </c>
      <c r="DB520" s="114">
        <f>500*18999.98+2000*249.99</f>
        <v>9999970</v>
      </c>
      <c r="DC520" s="64"/>
      <c r="DD520" s="118"/>
    </row>
    <row r="521" spans="1:108" ht="84" outlineLevel="2">
      <c r="A521" s="178">
        <v>40357</v>
      </c>
      <c r="B521" s="82" t="s">
        <v>1378</v>
      </c>
      <c r="C521" s="82" t="s">
        <v>242</v>
      </c>
      <c r="D521" s="165" t="s">
        <v>1200</v>
      </c>
      <c r="E521" s="167"/>
      <c r="F521" s="66"/>
      <c r="G521" s="66"/>
      <c r="H521" s="66">
        <v>100</v>
      </c>
      <c r="I521" s="66">
        <v>20</v>
      </c>
      <c r="J521" s="66"/>
      <c r="K521" s="66">
        <v>20</v>
      </c>
      <c r="L521" s="66"/>
      <c r="M521" s="66"/>
      <c r="N521" s="66"/>
      <c r="O521" s="66"/>
      <c r="P521" s="66"/>
      <c r="Q521" s="66"/>
      <c r="R521" s="66"/>
      <c r="S521" s="66"/>
      <c r="T521" s="67"/>
      <c r="U521" s="151"/>
      <c r="V521" s="1">
        <v>40456</v>
      </c>
      <c r="W521" s="68">
        <f t="shared" si="135"/>
        <v>0</v>
      </c>
      <c r="X521" s="68">
        <f t="shared" si="136"/>
        <v>0</v>
      </c>
      <c r="Y521" s="68">
        <f t="shared" si="137"/>
        <v>0</v>
      </c>
      <c r="Z521" s="68">
        <f t="shared" si="138"/>
        <v>0</v>
      </c>
      <c r="AA521" s="68">
        <f>200*23652+600*10634+150*25481+25*1949+6*195002+2*240503</f>
        <v>16632693</v>
      </c>
      <c r="AB521" s="68">
        <v>0</v>
      </c>
      <c r="AC521" s="69">
        <f t="shared" si="139"/>
        <v>16632693</v>
      </c>
      <c r="AD521" s="70">
        <v>0</v>
      </c>
      <c r="AE521" s="63">
        <v>40380</v>
      </c>
      <c r="AF521" s="72">
        <v>35466</v>
      </c>
      <c r="AG521" s="63" t="s">
        <v>954</v>
      </c>
      <c r="AH521" s="23" t="s">
        <v>955</v>
      </c>
      <c r="AI521" s="60">
        <v>19932</v>
      </c>
      <c r="AJ521" s="133" t="s">
        <v>1323</v>
      </c>
      <c r="AK521" s="73" t="s">
        <v>785</v>
      </c>
      <c r="AL521" s="3"/>
      <c r="AM521" s="4"/>
      <c r="AN521" s="5"/>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6"/>
      <c r="CO521" s="7"/>
      <c r="CP521" s="6"/>
      <c r="CQ521" s="7"/>
      <c r="CR521" s="6"/>
      <c r="CS521" s="7"/>
      <c r="CT521" s="8">
        <f t="shared" si="140"/>
        <v>0</v>
      </c>
      <c r="CU521" s="9"/>
      <c r="CV521" s="10"/>
      <c r="CW521" s="11"/>
      <c r="CX521" s="12"/>
      <c r="CY521" s="26"/>
      <c r="CZ521" s="12"/>
      <c r="DA521" s="9"/>
      <c r="DB521" s="10"/>
      <c r="DC521" s="64"/>
      <c r="DD521" s="22">
        <v>1185</v>
      </c>
    </row>
    <row r="522" spans="1:108" ht="84" outlineLevel="2">
      <c r="A522" s="178">
        <v>40365</v>
      </c>
      <c r="B522" s="174" t="s">
        <v>1378</v>
      </c>
      <c r="C522" s="174" t="s">
        <v>2243</v>
      </c>
      <c r="D522" s="179" t="s">
        <v>1262</v>
      </c>
      <c r="E522" s="163"/>
      <c r="F522" s="105"/>
      <c r="G522" s="105"/>
      <c r="H522" s="105">
        <f>546*5</f>
        <v>2730</v>
      </c>
      <c r="I522" s="105">
        <v>546</v>
      </c>
      <c r="J522" s="105"/>
      <c r="K522" s="105">
        <v>546</v>
      </c>
      <c r="L522" s="105">
        <v>1</v>
      </c>
      <c r="M522" s="105"/>
      <c r="N522" s="105"/>
      <c r="O522" s="105"/>
      <c r="P522" s="105"/>
      <c r="Q522" s="105"/>
      <c r="R522" s="105"/>
      <c r="S522" s="105"/>
      <c r="T522" s="106"/>
      <c r="U522" s="130"/>
      <c r="V522" s="1">
        <v>40466</v>
      </c>
      <c r="W522" s="68">
        <f t="shared" si="135"/>
        <v>40403617.799999997</v>
      </c>
      <c r="X522" s="68">
        <f t="shared" si="136"/>
        <v>46409159.160000004</v>
      </c>
      <c r="Y522" s="68">
        <f t="shared" si="137"/>
        <v>38999940</v>
      </c>
      <c r="Z522" s="68">
        <f t="shared" si="138"/>
        <v>0</v>
      </c>
      <c r="AA522" s="68"/>
      <c r="AB522" s="68">
        <v>45474800</v>
      </c>
      <c r="AC522" s="69">
        <f t="shared" si="139"/>
        <v>171287516.96000001</v>
      </c>
      <c r="AD522" s="70">
        <v>158286800</v>
      </c>
      <c r="AE522" s="63">
        <v>40393</v>
      </c>
      <c r="AF522" s="72">
        <v>38287</v>
      </c>
      <c r="AG522" s="63" t="s">
        <v>954</v>
      </c>
      <c r="AH522" s="23" t="s">
        <v>955</v>
      </c>
      <c r="AI522" s="75" t="s">
        <v>2083</v>
      </c>
      <c r="AJ522" s="124" t="s">
        <v>1336</v>
      </c>
      <c r="AK522" s="121" t="s">
        <v>2084</v>
      </c>
      <c r="AL522" s="107"/>
      <c r="AM522" s="108"/>
      <c r="AN522" s="109"/>
      <c r="AO522" s="108"/>
      <c r="AP522" s="108"/>
      <c r="AQ522" s="108"/>
      <c r="AR522" s="108"/>
      <c r="AS522" s="108"/>
      <c r="AT522" s="108"/>
      <c r="AU522" s="108"/>
      <c r="AV522" s="108"/>
      <c r="AW522" s="108"/>
      <c r="AX522" s="108"/>
      <c r="AY522" s="108"/>
      <c r="AZ522" s="108"/>
      <c r="BA522" s="108"/>
      <c r="BB522" s="108"/>
      <c r="BC522" s="108"/>
      <c r="BD522" s="108"/>
      <c r="BE522" s="108"/>
      <c r="BF522" s="108"/>
      <c r="BG522" s="108"/>
      <c r="BH522" s="108"/>
      <c r="BI522" s="108"/>
      <c r="BJ522" s="108"/>
      <c r="BK522" s="108"/>
      <c r="BL522" s="108"/>
      <c r="BM522" s="108"/>
      <c r="BN522" s="108"/>
      <c r="BO522" s="108"/>
      <c r="BP522" s="108"/>
      <c r="BQ522" s="108"/>
      <c r="BR522" s="108"/>
      <c r="BS522" s="108"/>
      <c r="BT522" s="108"/>
      <c r="BU522" s="108"/>
      <c r="BV522" s="108"/>
      <c r="BW522" s="108"/>
      <c r="BX522" s="108"/>
      <c r="BY522" s="108"/>
      <c r="BZ522" s="108"/>
      <c r="CA522" s="108"/>
      <c r="CB522" s="108"/>
      <c r="CC522" s="108"/>
      <c r="CD522" s="108"/>
      <c r="CE522" s="108"/>
      <c r="CF522" s="108"/>
      <c r="CG522" s="108"/>
      <c r="CH522" s="108"/>
      <c r="CI522" s="108"/>
      <c r="CJ522" s="108"/>
      <c r="CK522" s="108"/>
      <c r="CL522" s="108"/>
      <c r="CM522" s="108"/>
      <c r="CN522" s="110">
        <v>546</v>
      </c>
      <c r="CO522" s="111">
        <f>546*37999.86</f>
        <v>20747923.559999999</v>
      </c>
      <c r="CP522" s="110">
        <v>546</v>
      </c>
      <c r="CQ522" s="111">
        <f>546*35999.44</f>
        <v>19655694.240000002</v>
      </c>
      <c r="CR522" s="110"/>
      <c r="CS522" s="111"/>
      <c r="CT522" s="112">
        <f t="shared" si="140"/>
        <v>40403617.799999997</v>
      </c>
      <c r="CU522" s="113"/>
      <c r="CV522" s="114"/>
      <c r="CW522" s="115">
        <v>546</v>
      </c>
      <c r="CX522" s="116">
        <f>546*84998.46</f>
        <v>46409159.160000004</v>
      </c>
      <c r="CY522" s="117"/>
      <c r="CZ522" s="116"/>
      <c r="DA522" s="113">
        <v>2000</v>
      </c>
      <c r="DB522" s="114">
        <f>2000*18999.99+4000*249.99</f>
        <v>38999940</v>
      </c>
      <c r="DC522" s="64">
        <v>2</v>
      </c>
      <c r="DD522" s="118"/>
    </row>
    <row r="523" spans="1:108" ht="45" outlineLevel="2">
      <c r="A523" s="178">
        <v>40373</v>
      </c>
      <c r="B523" s="82" t="s">
        <v>1378</v>
      </c>
      <c r="C523" s="82" t="s">
        <v>545</v>
      </c>
      <c r="D523" s="165" t="s">
        <v>1262</v>
      </c>
      <c r="E523" s="167"/>
      <c r="F523" s="66"/>
      <c r="G523" s="66"/>
      <c r="H523" s="66">
        <f>155*5</f>
        <v>775</v>
      </c>
      <c r="I523" s="66">
        <v>155</v>
      </c>
      <c r="J523" s="66"/>
      <c r="K523" s="66">
        <v>155</v>
      </c>
      <c r="L523" s="66"/>
      <c r="M523" s="66"/>
      <c r="N523" s="66"/>
      <c r="O523" s="66"/>
      <c r="P523" s="66"/>
      <c r="Q523" s="66"/>
      <c r="R523" s="66"/>
      <c r="S523" s="66"/>
      <c r="T523" s="67"/>
      <c r="U523" s="151"/>
      <c r="V523" s="1">
        <v>40466</v>
      </c>
      <c r="W523" s="68">
        <f t="shared" si="135"/>
        <v>15399580</v>
      </c>
      <c r="X523" s="68">
        <f t="shared" si="136"/>
        <v>16999692</v>
      </c>
      <c r="Y523" s="68">
        <f t="shared" si="137"/>
        <v>0</v>
      </c>
      <c r="Z523" s="68">
        <f t="shared" si="138"/>
        <v>0</v>
      </c>
      <c r="AA523" s="68"/>
      <c r="AB523" s="68">
        <v>0</v>
      </c>
      <c r="AC523" s="69">
        <f t="shared" si="139"/>
        <v>32399272</v>
      </c>
      <c r="AD523" s="70">
        <v>0</v>
      </c>
      <c r="AE523" s="63">
        <v>40396</v>
      </c>
      <c r="AF523" s="72">
        <v>39180</v>
      </c>
      <c r="AG523" s="63" t="s">
        <v>954</v>
      </c>
      <c r="AH523" s="23" t="s">
        <v>955</v>
      </c>
      <c r="AI523" s="60">
        <v>22122</v>
      </c>
      <c r="AJ523" s="133" t="s">
        <v>415</v>
      </c>
      <c r="AK523" s="73" t="s">
        <v>2037</v>
      </c>
      <c r="AL523" s="3"/>
      <c r="AM523" s="4"/>
      <c r="AN523" s="5"/>
      <c r="AO523" s="4"/>
      <c r="AP523" s="4"/>
      <c r="AQ523" s="4"/>
      <c r="AR523" s="4"/>
      <c r="AS523" s="4"/>
      <c r="AT523" s="4">
        <v>200</v>
      </c>
      <c r="AU523" s="4">
        <f>200*20998.32</f>
        <v>4199664</v>
      </c>
      <c r="AV523" s="4"/>
      <c r="AW523" s="4"/>
      <c r="AX523" s="4">
        <v>200</v>
      </c>
      <c r="AY523" s="4">
        <f>200*55999.58</f>
        <v>11199916</v>
      </c>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6"/>
      <c r="CO523" s="7"/>
      <c r="CP523" s="6"/>
      <c r="CQ523" s="7"/>
      <c r="CR523" s="6"/>
      <c r="CS523" s="7"/>
      <c r="CT523" s="8">
        <f t="shared" si="140"/>
        <v>15399580</v>
      </c>
      <c r="CU523" s="9"/>
      <c r="CV523" s="10"/>
      <c r="CW523" s="11">
        <v>200</v>
      </c>
      <c r="CX523" s="12">
        <f>200*84998.46</f>
        <v>16999692</v>
      </c>
      <c r="CY523" s="26"/>
      <c r="CZ523" s="12"/>
      <c r="DA523" s="9"/>
      <c r="DB523" s="10"/>
      <c r="DC523" s="64"/>
    </row>
    <row r="524" spans="1:108" ht="36" outlineLevel="2">
      <c r="A524" s="178">
        <v>40410</v>
      </c>
      <c r="B524" s="164" t="s">
        <v>1378</v>
      </c>
      <c r="C524" s="164" t="s">
        <v>1959</v>
      </c>
      <c r="D524" s="165" t="s">
        <v>1182</v>
      </c>
      <c r="E524" s="163"/>
      <c r="F524" s="105"/>
      <c r="G524" s="105"/>
      <c r="H524" s="105">
        <v>100</v>
      </c>
      <c r="I524" s="105">
        <v>20</v>
      </c>
      <c r="J524" s="105">
        <v>20</v>
      </c>
      <c r="K524" s="105"/>
      <c r="L524" s="105"/>
      <c r="M524" s="105"/>
      <c r="N524" s="105"/>
      <c r="O524" s="105"/>
      <c r="P524" s="105"/>
      <c r="Q524" s="105"/>
      <c r="R524" s="105"/>
      <c r="S524" s="105"/>
      <c r="T524" s="106"/>
      <c r="U524" s="130"/>
      <c r="V524" s="1"/>
      <c r="W524" s="68">
        <f t="shared" si="135"/>
        <v>0</v>
      </c>
      <c r="X524" s="68">
        <f t="shared" si="136"/>
        <v>0</v>
      </c>
      <c r="Y524" s="68">
        <f t="shared" si="137"/>
        <v>0</v>
      </c>
      <c r="Z524" s="68">
        <f t="shared" si="138"/>
        <v>0</v>
      </c>
      <c r="AA524" s="68"/>
      <c r="AB524" s="68">
        <v>0</v>
      </c>
      <c r="AC524" s="69">
        <f t="shared" si="139"/>
        <v>0</v>
      </c>
      <c r="AD524" s="70">
        <v>0</v>
      </c>
      <c r="AE524" s="63">
        <v>40459</v>
      </c>
      <c r="AF524" s="72"/>
      <c r="AG524" s="63" t="s">
        <v>938</v>
      </c>
      <c r="AH524" s="23" t="s">
        <v>939</v>
      </c>
      <c r="AI524" s="60"/>
      <c r="AJ524" s="124" t="s">
        <v>1608</v>
      </c>
      <c r="AK524" s="121" t="s">
        <v>214</v>
      </c>
      <c r="AL524" s="107"/>
      <c r="AM524" s="108"/>
      <c r="AN524" s="109"/>
      <c r="AO524" s="108"/>
      <c r="AP524" s="108"/>
      <c r="AQ524" s="108"/>
      <c r="AR524" s="108"/>
      <c r="AS524" s="108"/>
      <c r="AT524" s="108"/>
      <c r="AU524" s="108"/>
      <c r="AV524" s="108"/>
      <c r="AW524" s="108"/>
      <c r="AX524" s="108"/>
      <c r="AY524" s="108"/>
      <c r="AZ524" s="108"/>
      <c r="BA524" s="108"/>
      <c r="BB524" s="108"/>
      <c r="BC524" s="108"/>
      <c r="BD524" s="108"/>
      <c r="BE524" s="108"/>
      <c r="BF524" s="108"/>
      <c r="BG524" s="108"/>
      <c r="BH524" s="108"/>
      <c r="BI524" s="108"/>
      <c r="BJ524" s="108"/>
      <c r="BK524" s="108"/>
      <c r="BL524" s="108"/>
      <c r="BM524" s="108"/>
      <c r="BN524" s="108"/>
      <c r="BO524" s="108"/>
      <c r="BP524" s="108"/>
      <c r="BQ524" s="108"/>
      <c r="BR524" s="108"/>
      <c r="BS524" s="108"/>
      <c r="BT524" s="108"/>
      <c r="BU524" s="108"/>
      <c r="BV524" s="108"/>
      <c r="BW524" s="108"/>
      <c r="BX524" s="108"/>
      <c r="BY524" s="108"/>
      <c r="BZ524" s="108"/>
      <c r="CA524" s="108"/>
      <c r="CB524" s="108"/>
      <c r="CC524" s="108"/>
      <c r="CD524" s="108"/>
      <c r="CE524" s="108"/>
      <c r="CF524" s="108"/>
      <c r="CG524" s="108"/>
      <c r="CH524" s="108"/>
      <c r="CI524" s="108"/>
      <c r="CJ524" s="108"/>
      <c r="CK524" s="108"/>
      <c r="CL524" s="108"/>
      <c r="CM524" s="108"/>
      <c r="CN524" s="110"/>
      <c r="CO524" s="111"/>
      <c r="CP524" s="110"/>
      <c r="CQ524" s="111"/>
      <c r="CR524" s="110"/>
      <c r="CS524" s="111"/>
      <c r="CT524" s="112">
        <f t="shared" si="140"/>
        <v>0</v>
      </c>
      <c r="CU524" s="113"/>
      <c r="CV524" s="114"/>
      <c r="CW524" s="115"/>
      <c r="CX524" s="116"/>
      <c r="CY524" s="117"/>
      <c r="CZ524" s="116"/>
      <c r="DA524" s="113"/>
      <c r="DB524" s="114"/>
      <c r="DC524" s="64"/>
      <c r="DD524" s="118"/>
    </row>
    <row r="525" spans="1:108" ht="132" outlineLevel="2">
      <c r="A525" s="178">
        <v>40418</v>
      </c>
      <c r="B525" s="164" t="s">
        <v>1378</v>
      </c>
      <c r="C525" s="164" t="s">
        <v>253</v>
      </c>
      <c r="D525" s="165" t="s">
        <v>1182</v>
      </c>
      <c r="E525" s="163"/>
      <c r="F525" s="105"/>
      <c r="G525" s="105"/>
      <c r="H525" s="105"/>
      <c r="I525" s="105"/>
      <c r="J525" s="105"/>
      <c r="K525" s="105"/>
      <c r="L525" s="105">
        <v>3</v>
      </c>
      <c r="M525" s="105"/>
      <c r="N525" s="105"/>
      <c r="O525" s="105"/>
      <c r="P525" s="105"/>
      <c r="Q525" s="105"/>
      <c r="R525" s="105"/>
      <c r="S525" s="105"/>
      <c r="T525" s="106"/>
      <c r="U525" s="130"/>
      <c r="V525" s="1">
        <v>40480</v>
      </c>
      <c r="W525" s="68">
        <f t="shared" si="135"/>
        <v>0</v>
      </c>
      <c r="X525" s="68">
        <f t="shared" si="136"/>
        <v>0</v>
      </c>
      <c r="Y525" s="68">
        <f t="shared" si="137"/>
        <v>0</v>
      </c>
      <c r="Z525" s="68">
        <f t="shared" si="138"/>
        <v>0</v>
      </c>
      <c r="AA525" s="68"/>
      <c r="AB525" s="68">
        <v>10000000</v>
      </c>
      <c r="AC525" s="69">
        <f t="shared" si="139"/>
        <v>10000000</v>
      </c>
      <c r="AD525" s="70">
        <v>0</v>
      </c>
      <c r="AE525" s="63">
        <v>40418</v>
      </c>
      <c r="AF525" s="79" t="s">
        <v>988</v>
      </c>
      <c r="AG525" s="63" t="s">
        <v>954</v>
      </c>
      <c r="AH525" s="23" t="s">
        <v>955</v>
      </c>
      <c r="AI525" s="60">
        <v>40507</v>
      </c>
      <c r="AJ525" s="124" t="s">
        <v>415</v>
      </c>
      <c r="AK525" s="121" t="s">
        <v>990</v>
      </c>
      <c r="AL525" s="107"/>
      <c r="AM525" s="108"/>
      <c r="AN525" s="109"/>
      <c r="AO525" s="108"/>
      <c r="AP525" s="108"/>
      <c r="AQ525" s="108"/>
      <c r="AR525" s="108"/>
      <c r="AS525" s="108"/>
      <c r="AT525" s="108"/>
      <c r="AU525" s="108"/>
      <c r="AV525" s="108"/>
      <c r="AW525" s="108"/>
      <c r="AX525" s="108"/>
      <c r="AY525" s="108"/>
      <c r="AZ525" s="108"/>
      <c r="BA525" s="108"/>
      <c r="BB525" s="108"/>
      <c r="BC525" s="108"/>
      <c r="BD525" s="108"/>
      <c r="BE525" s="108"/>
      <c r="BF525" s="108"/>
      <c r="BG525" s="108"/>
      <c r="BH525" s="108"/>
      <c r="BI525" s="108"/>
      <c r="BJ525" s="108"/>
      <c r="BK525" s="108"/>
      <c r="BL525" s="108"/>
      <c r="BM525" s="108"/>
      <c r="BN525" s="108"/>
      <c r="BO525" s="108"/>
      <c r="BP525" s="108"/>
      <c r="BQ525" s="108"/>
      <c r="BR525" s="108"/>
      <c r="BS525" s="108"/>
      <c r="BT525" s="108"/>
      <c r="BU525" s="108"/>
      <c r="BV525" s="108"/>
      <c r="BW525" s="108"/>
      <c r="BX525" s="108"/>
      <c r="BY525" s="108"/>
      <c r="BZ525" s="108"/>
      <c r="CA525" s="108"/>
      <c r="CB525" s="108"/>
      <c r="CC525" s="108"/>
      <c r="CD525" s="108"/>
      <c r="CE525" s="108"/>
      <c r="CF525" s="108"/>
      <c r="CG525" s="108"/>
      <c r="CH525" s="108"/>
      <c r="CI525" s="108"/>
      <c r="CJ525" s="108"/>
      <c r="CK525" s="108"/>
      <c r="CL525" s="108"/>
      <c r="CM525" s="108"/>
      <c r="CN525" s="110"/>
      <c r="CO525" s="111"/>
      <c r="CP525" s="110"/>
      <c r="CQ525" s="111"/>
      <c r="CR525" s="110"/>
      <c r="CS525" s="111"/>
      <c r="CT525" s="112">
        <f t="shared" si="140"/>
        <v>0</v>
      </c>
      <c r="CU525" s="113"/>
      <c r="CV525" s="114"/>
      <c r="CW525" s="115"/>
      <c r="CX525" s="116"/>
      <c r="CY525" s="117"/>
      <c r="CZ525" s="116"/>
      <c r="DA525" s="113"/>
      <c r="DB525" s="114"/>
      <c r="DC525" s="64" t="s">
        <v>989</v>
      </c>
      <c r="DD525" s="118"/>
    </row>
    <row r="526" spans="1:108" ht="24" outlineLevel="2">
      <c r="A526" s="178">
        <v>40427</v>
      </c>
      <c r="B526" s="174" t="s">
        <v>1378</v>
      </c>
      <c r="C526" s="174" t="s">
        <v>1379</v>
      </c>
      <c r="D526" s="179" t="s">
        <v>1262</v>
      </c>
      <c r="E526" s="163"/>
      <c r="F526" s="105"/>
      <c r="G526" s="105"/>
      <c r="H526" s="105">
        <v>10</v>
      </c>
      <c r="I526" s="105">
        <v>2</v>
      </c>
      <c r="J526" s="105"/>
      <c r="K526" s="105">
        <v>2</v>
      </c>
      <c r="L526" s="105"/>
      <c r="M526" s="105"/>
      <c r="N526" s="105"/>
      <c r="O526" s="105"/>
      <c r="P526" s="105"/>
      <c r="Q526" s="105"/>
      <c r="R526" s="105"/>
      <c r="S526" s="105"/>
      <c r="T526" s="106"/>
      <c r="U526" s="130"/>
      <c r="V526" s="1"/>
      <c r="W526" s="68">
        <f t="shared" si="135"/>
        <v>0</v>
      </c>
      <c r="X526" s="68">
        <f t="shared" si="136"/>
        <v>0</v>
      </c>
      <c r="Y526" s="68">
        <f t="shared" si="137"/>
        <v>0</v>
      </c>
      <c r="Z526" s="68">
        <f t="shared" si="138"/>
        <v>0</v>
      </c>
      <c r="AA526" s="68"/>
      <c r="AB526" s="68">
        <v>0</v>
      </c>
      <c r="AC526" s="69">
        <f t="shared" si="139"/>
        <v>0</v>
      </c>
      <c r="AD526" s="70">
        <v>0</v>
      </c>
      <c r="AE526" s="63">
        <v>40428</v>
      </c>
      <c r="AF526" s="72"/>
      <c r="AG526" s="63" t="s">
        <v>938</v>
      </c>
      <c r="AH526" s="23" t="s">
        <v>939</v>
      </c>
      <c r="AI526" s="60"/>
      <c r="AJ526" s="124" t="s">
        <v>1608</v>
      </c>
      <c r="AK526" s="121" t="s">
        <v>1743</v>
      </c>
      <c r="AL526" s="107"/>
      <c r="AM526" s="108"/>
      <c r="AN526" s="109"/>
      <c r="AO526" s="108"/>
      <c r="AP526" s="108"/>
      <c r="AQ526" s="108"/>
      <c r="AR526" s="108"/>
      <c r="AS526" s="108"/>
      <c r="AT526" s="108"/>
      <c r="AU526" s="108"/>
      <c r="AV526" s="108"/>
      <c r="AW526" s="108"/>
      <c r="AX526" s="108"/>
      <c r="AY526" s="108"/>
      <c r="AZ526" s="108"/>
      <c r="BA526" s="108"/>
      <c r="BB526" s="108"/>
      <c r="BC526" s="108"/>
      <c r="BD526" s="108"/>
      <c r="BE526" s="108"/>
      <c r="BF526" s="108"/>
      <c r="BG526" s="108"/>
      <c r="BH526" s="108"/>
      <c r="BI526" s="108"/>
      <c r="BJ526" s="108"/>
      <c r="BK526" s="108"/>
      <c r="BL526" s="108"/>
      <c r="BM526" s="108"/>
      <c r="BN526" s="108"/>
      <c r="BO526" s="108"/>
      <c r="BP526" s="108"/>
      <c r="BQ526" s="108"/>
      <c r="BR526" s="108"/>
      <c r="BS526" s="108"/>
      <c r="BT526" s="108"/>
      <c r="BU526" s="108"/>
      <c r="BV526" s="108"/>
      <c r="BW526" s="108"/>
      <c r="BX526" s="108"/>
      <c r="BY526" s="108"/>
      <c r="BZ526" s="108"/>
      <c r="CA526" s="108"/>
      <c r="CB526" s="108"/>
      <c r="CC526" s="108"/>
      <c r="CD526" s="108"/>
      <c r="CE526" s="108"/>
      <c r="CF526" s="108"/>
      <c r="CG526" s="108"/>
      <c r="CH526" s="108"/>
      <c r="CI526" s="108"/>
      <c r="CJ526" s="108"/>
      <c r="CK526" s="108"/>
      <c r="CL526" s="108"/>
      <c r="CM526" s="108"/>
      <c r="CN526" s="110"/>
      <c r="CO526" s="111"/>
      <c r="CP526" s="110"/>
      <c r="CQ526" s="111"/>
      <c r="CR526" s="110"/>
      <c r="CS526" s="111"/>
      <c r="CT526" s="112">
        <f t="shared" si="140"/>
        <v>0</v>
      </c>
      <c r="CU526" s="113"/>
      <c r="CV526" s="114"/>
      <c r="CW526" s="115"/>
      <c r="CX526" s="116"/>
      <c r="CY526" s="117"/>
      <c r="CZ526" s="116"/>
      <c r="DA526" s="113"/>
      <c r="DB526" s="114"/>
      <c r="DC526" s="64"/>
      <c r="DD526" s="118"/>
    </row>
    <row r="527" spans="1:108" ht="24" outlineLevel="2">
      <c r="A527" s="178">
        <v>40446</v>
      </c>
      <c r="B527" s="164" t="s">
        <v>1378</v>
      </c>
      <c r="C527" s="164" t="s">
        <v>1354</v>
      </c>
      <c r="D527" s="166" t="s">
        <v>435</v>
      </c>
      <c r="E527" s="163"/>
      <c r="F527" s="105"/>
      <c r="G527" s="105"/>
      <c r="H527" s="105">
        <v>200</v>
      </c>
      <c r="I527" s="105">
        <v>40</v>
      </c>
      <c r="J527" s="105"/>
      <c r="K527" s="105">
        <v>40</v>
      </c>
      <c r="L527" s="105"/>
      <c r="M527" s="105"/>
      <c r="N527" s="105"/>
      <c r="O527" s="105"/>
      <c r="P527" s="105"/>
      <c r="Q527" s="105"/>
      <c r="R527" s="105"/>
      <c r="S527" s="105"/>
      <c r="T527" s="106"/>
      <c r="U527" s="130"/>
      <c r="V527" s="1"/>
      <c r="W527" s="68">
        <f t="shared" si="135"/>
        <v>0</v>
      </c>
      <c r="X527" s="68">
        <f t="shared" si="136"/>
        <v>0</v>
      </c>
      <c r="Y527" s="68">
        <f t="shared" si="137"/>
        <v>0</v>
      </c>
      <c r="Z527" s="68">
        <f t="shared" si="138"/>
        <v>0</v>
      </c>
      <c r="AA527" s="68"/>
      <c r="AB527" s="68">
        <v>0</v>
      </c>
      <c r="AC527" s="69">
        <f t="shared" si="139"/>
        <v>0</v>
      </c>
      <c r="AD527" s="70">
        <v>0</v>
      </c>
      <c r="AE527" s="63">
        <v>40448</v>
      </c>
      <c r="AF527" s="72"/>
      <c r="AG527" s="63" t="s">
        <v>938</v>
      </c>
      <c r="AH527" s="23" t="s">
        <v>939</v>
      </c>
      <c r="AI527" s="60"/>
      <c r="AJ527" s="124" t="s">
        <v>1608</v>
      </c>
      <c r="AK527" s="121" t="s">
        <v>1355</v>
      </c>
      <c r="AL527" s="107"/>
      <c r="AM527" s="108"/>
      <c r="AN527" s="109"/>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c r="BU527" s="108"/>
      <c r="BV527" s="108"/>
      <c r="BW527" s="108"/>
      <c r="BX527" s="108"/>
      <c r="BY527" s="108"/>
      <c r="BZ527" s="108"/>
      <c r="CA527" s="108"/>
      <c r="CB527" s="108"/>
      <c r="CC527" s="108"/>
      <c r="CD527" s="108"/>
      <c r="CE527" s="108"/>
      <c r="CF527" s="108"/>
      <c r="CG527" s="108"/>
      <c r="CH527" s="108"/>
      <c r="CI527" s="108"/>
      <c r="CJ527" s="108"/>
      <c r="CK527" s="108"/>
      <c r="CL527" s="108"/>
      <c r="CM527" s="108"/>
      <c r="CN527" s="110"/>
      <c r="CO527" s="111"/>
      <c r="CP527" s="110"/>
      <c r="CQ527" s="111"/>
      <c r="CR527" s="110"/>
      <c r="CS527" s="111"/>
      <c r="CT527" s="112">
        <f t="shared" si="140"/>
        <v>0</v>
      </c>
      <c r="CU527" s="113"/>
      <c r="CV527" s="114"/>
      <c r="CW527" s="115"/>
      <c r="CX527" s="116"/>
      <c r="CY527" s="117"/>
      <c r="CZ527" s="116"/>
      <c r="DA527" s="113"/>
      <c r="DB527" s="114"/>
      <c r="DC527" s="64"/>
      <c r="DD527" s="118"/>
    </row>
    <row r="528" spans="1:108" ht="45" outlineLevel="2">
      <c r="A528" s="178">
        <v>40452</v>
      </c>
      <c r="B528" s="164" t="s">
        <v>1378</v>
      </c>
      <c r="C528" s="164" t="s">
        <v>774</v>
      </c>
      <c r="D528" s="166" t="s">
        <v>435</v>
      </c>
      <c r="E528" s="163"/>
      <c r="F528" s="105"/>
      <c r="G528" s="105"/>
      <c r="H528" s="105">
        <v>535</v>
      </c>
      <c r="I528" s="105">
        <v>107</v>
      </c>
      <c r="J528" s="105"/>
      <c r="K528" s="131">
        <v>107</v>
      </c>
      <c r="L528" s="105"/>
      <c r="M528" s="105"/>
      <c r="N528" s="105"/>
      <c r="O528" s="105"/>
      <c r="P528" s="105"/>
      <c r="Q528" s="105"/>
      <c r="R528" s="105">
        <v>3</v>
      </c>
      <c r="S528" s="105"/>
      <c r="T528" s="106">
        <v>170</v>
      </c>
      <c r="U528" s="130" t="s">
        <v>783</v>
      </c>
      <c r="V528" s="1">
        <v>40514</v>
      </c>
      <c r="W528" s="68">
        <f t="shared" si="135"/>
        <v>7845926.2200000007</v>
      </c>
      <c r="X528" s="68">
        <f t="shared" si="136"/>
        <v>9094835.2200000007</v>
      </c>
      <c r="Y528" s="68">
        <f t="shared" si="137"/>
        <v>14999860</v>
      </c>
      <c r="Z528" s="68">
        <f t="shared" si="138"/>
        <v>0</v>
      </c>
      <c r="AA528" s="68"/>
      <c r="AB528" s="68">
        <v>0</v>
      </c>
      <c r="AC528" s="69">
        <f t="shared" si="139"/>
        <v>31940621.440000001</v>
      </c>
      <c r="AD528" s="70">
        <v>0</v>
      </c>
      <c r="AE528" s="63">
        <v>40455</v>
      </c>
      <c r="AF528" s="72">
        <v>57277</v>
      </c>
      <c r="AG528" s="63" t="s">
        <v>954</v>
      </c>
      <c r="AH528" s="23" t="s">
        <v>955</v>
      </c>
      <c r="AI528" s="60">
        <v>25682</v>
      </c>
      <c r="AJ528" s="124" t="s">
        <v>415</v>
      </c>
      <c r="AK528" s="121" t="s">
        <v>1960</v>
      </c>
      <c r="AL528" s="107"/>
      <c r="AM528" s="108"/>
      <c r="AN528" s="109"/>
      <c r="AO528" s="108"/>
      <c r="AP528" s="108"/>
      <c r="AQ528" s="108"/>
      <c r="AR528" s="108"/>
      <c r="AS528" s="108"/>
      <c r="AT528" s="108"/>
      <c r="AU528" s="108"/>
      <c r="AV528" s="108"/>
      <c r="AW528" s="108"/>
      <c r="AX528" s="108"/>
      <c r="AY528" s="108"/>
      <c r="AZ528" s="108"/>
      <c r="BA528" s="108"/>
      <c r="BB528" s="108"/>
      <c r="BC528" s="108"/>
      <c r="BD528" s="108"/>
      <c r="BE528" s="108"/>
      <c r="BF528" s="108"/>
      <c r="BG528" s="108"/>
      <c r="BH528" s="108"/>
      <c r="BI528" s="108"/>
      <c r="BJ528" s="108"/>
      <c r="BK528" s="108"/>
      <c r="BL528" s="108"/>
      <c r="BM528" s="108"/>
      <c r="BN528" s="108"/>
      <c r="BO528" s="108"/>
      <c r="BP528" s="108"/>
      <c r="BQ528" s="108"/>
      <c r="BR528" s="108"/>
      <c r="BS528" s="108"/>
      <c r="BT528" s="108"/>
      <c r="BU528" s="108"/>
      <c r="BV528" s="108"/>
      <c r="BW528" s="108"/>
      <c r="BX528" s="108"/>
      <c r="BY528" s="108"/>
      <c r="BZ528" s="108"/>
      <c r="CA528" s="108"/>
      <c r="CB528" s="108"/>
      <c r="CC528" s="108"/>
      <c r="CD528" s="108"/>
      <c r="CE528" s="108"/>
      <c r="CF528" s="108"/>
      <c r="CG528" s="108"/>
      <c r="CH528" s="108"/>
      <c r="CI528" s="108"/>
      <c r="CJ528" s="108"/>
      <c r="CK528" s="108"/>
      <c r="CL528" s="108"/>
      <c r="CM528" s="108"/>
      <c r="CN528" s="110">
        <v>107</v>
      </c>
      <c r="CO528" s="111">
        <f>107*37999.86</f>
        <v>4065985.02</v>
      </c>
      <c r="CP528" s="110">
        <v>105</v>
      </c>
      <c r="CQ528" s="111">
        <f>105*35999.44</f>
        <v>3779941.2</v>
      </c>
      <c r="CR528" s="110"/>
      <c r="CS528" s="111"/>
      <c r="CT528" s="112">
        <f t="shared" si="140"/>
        <v>7845926.2200000007</v>
      </c>
      <c r="CU528" s="113"/>
      <c r="CV528" s="114"/>
      <c r="CW528" s="115">
        <v>107</v>
      </c>
      <c r="CX528" s="116">
        <f>107*84998.46</f>
        <v>9094835.2200000007</v>
      </c>
      <c r="CY528" s="117">
        <v>250</v>
      </c>
      <c r="CZ528" s="116">
        <f>250*19999.56</f>
        <v>4999890</v>
      </c>
      <c r="DA528" s="113">
        <v>500</v>
      </c>
      <c r="DB528" s="114">
        <f>500*18999.98+2000*249.99</f>
        <v>9999970</v>
      </c>
      <c r="DC528" s="64"/>
      <c r="DD528" s="118"/>
    </row>
    <row r="529" spans="1:108" outlineLevel="2">
      <c r="A529" s="178">
        <v>40471</v>
      </c>
      <c r="B529" s="164" t="s">
        <v>1378</v>
      </c>
      <c r="C529" s="164" t="s">
        <v>2323</v>
      </c>
      <c r="D529" s="166" t="s">
        <v>435</v>
      </c>
      <c r="E529" s="163"/>
      <c r="F529" s="105"/>
      <c r="G529" s="105"/>
      <c r="H529" s="105">
        <v>70</v>
      </c>
      <c r="I529" s="105">
        <v>14</v>
      </c>
      <c r="J529" s="105"/>
      <c r="K529" s="105">
        <v>14</v>
      </c>
      <c r="L529" s="105"/>
      <c r="M529" s="105"/>
      <c r="N529" s="105"/>
      <c r="O529" s="105"/>
      <c r="P529" s="105"/>
      <c r="Q529" s="105"/>
      <c r="R529" s="105">
        <v>1</v>
      </c>
      <c r="S529" s="105"/>
      <c r="T529" s="106"/>
      <c r="U529" s="130"/>
      <c r="V529" s="1"/>
      <c r="W529" s="68">
        <f t="shared" si="135"/>
        <v>0</v>
      </c>
      <c r="X529" s="68">
        <f t="shared" si="136"/>
        <v>0</v>
      </c>
      <c r="Y529" s="68">
        <f t="shared" si="137"/>
        <v>0</v>
      </c>
      <c r="Z529" s="68">
        <f t="shared" si="138"/>
        <v>0</v>
      </c>
      <c r="AA529" s="68"/>
      <c r="AB529" s="68">
        <v>0</v>
      </c>
      <c r="AC529" s="69">
        <f t="shared" si="139"/>
        <v>0</v>
      </c>
      <c r="AD529" s="70">
        <v>0</v>
      </c>
      <c r="AE529" s="63">
        <v>40471</v>
      </c>
      <c r="AF529" s="72"/>
      <c r="AG529" s="63" t="s">
        <v>938</v>
      </c>
      <c r="AH529" s="23" t="s">
        <v>939</v>
      </c>
      <c r="AI529" s="60"/>
      <c r="AJ529" s="124" t="s">
        <v>1608</v>
      </c>
      <c r="AK529" s="185" t="s">
        <v>2324</v>
      </c>
      <c r="AL529" s="123"/>
      <c r="AM529" s="108"/>
      <c r="AN529" s="109"/>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c r="BU529" s="108"/>
      <c r="BV529" s="108"/>
      <c r="BW529" s="108"/>
      <c r="BX529" s="108"/>
      <c r="BY529" s="108"/>
      <c r="BZ529" s="108"/>
      <c r="CA529" s="108"/>
      <c r="CB529" s="108"/>
      <c r="CC529" s="108"/>
      <c r="CD529" s="108"/>
      <c r="CE529" s="108"/>
      <c r="CF529" s="108"/>
      <c r="CG529" s="108"/>
      <c r="CH529" s="108"/>
      <c r="CI529" s="108"/>
      <c r="CJ529" s="108"/>
      <c r="CK529" s="108"/>
      <c r="CL529" s="108"/>
      <c r="CM529" s="108"/>
      <c r="CN529" s="110"/>
      <c r="CO529" s="111"/>
      <c r="CP529" s="110"/>
      <c r="CQ529" s="111"/>
      <c r="CR529" s="110"/>
      <c r="CS529" s="111"/>
      <c r="CT529" s="112">
        <f t="shared" si="140"/>
        <v>0</v>
      </c>
      <c r="CU529" s="113"/>
      <c r="CV529" s="114"/>
      <c r="CW529" s="115"/>
      <c r="CX529" s="116"/>
      <c r="CY529" s="117"/>
      <c r="CZ529" s="116"/>
      <c r="DA529" s="113"/>
      <c r="DB529" s="114"/>
      <c r="DC529" s="64"/>
      <c r="DD529" s="118"/>
    </row>
    <row r="530" spans="1:108" ht="60" outlineLevel="2">
      <c r="A530" s="178">
        <v>40471</v>
      </c>
      <c r="B530" s="164" t="s">
        <v>1378</v>
      </c>
      <c r="C530" s="164" t="s">
        <v>1780</v>
      </c>
      <c r="D530" s="166" t="s">
        <v>435</v>
      </c>
      <c r="E530" s="163"/>
      <c r="F530" s="105"/>
      <c r="G530" s="105"/>
      <c r="H530" s="105">
        <f>183*5</f>
        <v>915</v>
      </c>
      <c r="I530" s="105">
        <v>183</v>
      </c>
      <c r="J530" s="105"/>
      <c r="K530" s="105">
        <v>183</v>
      </c>
      <c r="L530" s="105"/>
      <c r="M530" s="105"/>
      <c r="N530" s="105"/>
      <c r="O530" s="105"/>
      <c r="P530" s="105"/>
      <c r="Q530" s="105"/>
      <c r="R530" s="105"/>
      <c r="S530" s="105"/>
      <c r="T530" s="106"/>
      <c r="U530" s="130"/>
      <c r="V530" s="1"/>
      <c r="W530" s="68">
        <f t="shared" si="135"/>
        <v>0</v>
      </c>
      <c r="X530" s="68">
        <f t="shared" si="136"/>
        <v>0</v>
      </c>
      <c r="Y530" s="68">
        <f t="shared" si="137"/>
        <v>0</v>
      </c>
      <c r="Z530" s="68">
        <f t="shared" si="138"/>
        <v>0</v>
      </c>
      <c r="AA530" s="68"/>
      <c r="AB530" s="68">
        <v>0</v>
      </c>
      <c r="AC530" s="69">
        <f t="shared" si="139"/>
        <v>0</v>
      </c>
      <c r="AD530" s="70">
        <v>0</v>
      </c>
      <c r="AE530" s="63">
        <v>40476</v>
      </c>
      <c r="AF530" s="72"/>
      <c r="AG530" s="63" t="s">
        <v>938</v>
      </c>
      <c r="AH530" s="23" t="s">
        <v>939</v>
      </c>
      <c r="AI530" s="60"/>
      <c r="AJ530" s="124" t="s">
        <v>1608</v>
      </c>
      <c r="AK530" s="121" t="s">
        <v>411</v>
      </c>
      <c r="AL530" s="107"/>
      <c r="AM530" s="108"/>
      <c r="AN530" s="109"/>
      <c r="AO530" s="108"/>
      <c r="AP530" s="108"/>
      <c r="AQ530" s="108"/>
      <c r="AR530" s="108"/>
      <c r="AS530" s="108"/>
      <c r="AT530" s="108"/>
      <c r="AU530" s="108"/>
      <c r="AV530" s="108"/>
      <c r="AW530" s="108"/>
      <c r="AX530" s="108"/>
      <c r="AY530" s="108"/>
      <c r="AZ530" s="108"/>
      <c r="BA530" s="108"/>
      <c r="BB530" s="108"/>
      <c r="BC530" s="108"/>
      <c r="BD530" s="108"/>
      <c r="BE530" s="108"/>
      <c r="BF530" s="108"/>
      <c r="BG530" s="108"/>
      <c r="BH530" s="108"/>
      <c r="BI530" s="108"/>
      <c r="BJ530" s="108"/>
      <c r="BK530" s="108"/>
      <c r="BL530" s="108"/>
      <c r="BM530" s="108"/>
      <c r="BN530" s="108"/>
      <c r="BO530" s="108"/>
      <c r="BP530" s="108"/>
      <c r="BQ530" s="108"/>
      <c r="BR530" s="108"/>
      <c r="BS530" s="108"/>
      <c r="BT530" s="108"/>
      <c r="BU530" s="108"/>
      <c r="BV530" s="108"/>
      <c r="BW530" s="108"/>
      <c r="BX530" s="108"/>
      <c r="BY530" s="108"/>
      <c r="BZ530" s="108"/>
      <c r="CA530" s="108"/>
      <c r="CB530" s="108"/>
      <c r="CC530" s="108"/>
      <c r="CD530" s="108"/>
      <c r="CE530" s="108"/>
      <c r="CF530" s="108"/>
      <c r="CG530" s="108"/>
      <c r="CH530" s="108"/>
      <c r="CI530" s="108"/>
      <c r="CJ530" s="108"/>
      <c r="CK530" s="108"/>
      <c r="CL530" s="108"/>
      <c r="CM530" s="108"/>
      <c r="CN530" s="110"/>
      <c r="CO530" s="111"/>
      <c r="CP530" s="110"/>
      <c r="CQ530" s="111"/>
      <c r="CR530" s="110"/>
      <c r="CS530" s="111"/>
      <c r="CT530" s="112">
        <f t="shared" si="140"/>
        <v>0</v>
      </c>
      <c r="CU530" s="113"/>
      <c r="CV530" s="114"/>
      <c r="CW530" s="115"/>
      <c r="CX530" s="116"/>
      <c r="CY530" s="117"/>
      <c r="CZ530" s="116"/>
      <c r="DA530" s="113"/>
      <c r="DB530" s="114"/>
      <c r="DC530" s="64"/>
      <c r="DD530" s="118"/>
    </row>
    <row r="531" spans="1:108" ht="48" outlineLevel="2">
      <c r="A531" s="178">
        <v>40473</v>
      </c>
      <c r="B531" s="164" t="s">
        <v>1378</v>
      </c>
      <c r="C531" s="164" t="s">
        <v>1792</v>
      </c>
      <c r="D531" s="166" t="s">
        <v>1262</v>
      </c>
      <c r="E531" s="163"/>
      <c r="F531" s="105"/>
      <c r="G531" s="105"/>
      <c r="H531" s="105">
        <v>5600</v>
      </c>
      <c r="I531" s="105">
        <v>800</v>
      </c>
      <c r="J531" s="105"/>
      <c r="K531" s="105">
        <v>800</v>
      </c>
      <c r="L531" s="105"/>
      <c r="M531" s="105"/>
      <c r="N531" s="105"/>
      <c r="O531" s="105"/>
      <c r="P531" s="105"/>
      <c r="Q531" s="105"/>
      <c r="R531" s="105">
        <v>1</v>
      </c>
      <c r="S531" s="105"/>
      <c r="T531" s="106">
        <f>300+120+100</f>
        <v>520</v>
      </c>
      <c r="U531" s="130" t="s">
        <v>1794</v>
      </c>
      <c r="V531" s="1">
        <v>40515</v>
      </c>
      <c r="W531" s="68">
        <f t="shared" si="135"/>
        <v>87198766</v>
      </c>
      <c r="X531" s="68">
        <f t="shared" si="136"/>
        <v>67998768</v>
      </c>
      <c r="Y531" s="68">
        <f t="shared" si="137"/>
        <v>9999970</v>
      </c>
      <c r="Z531" s="68">
        <f t="shared" si="138"/>
        <v>0</v>
      </c>
      <c r="AA531" s="68"/>
      <c r="AB531" s="68">
        <v>0</v>
      </c>
      <c r="AC531" s="69">
        <f t="shared" si="139"/>
        <v>165197504</v>
      </c>
      <c r="AD531" s="70">
        <v>0</v>
      </c>
      <c r="AE531" s="63">
        <v>40476</v>
      </c>
      <c r="AF531" s="72">
        <v>58729</v>
      </c>
      <c r="AG531" s="63" t="s">
        <v>954</v>
      </c>
      <c r="AH531" s="23" t="s">
        <v>955</v>
      </c>
      <c r="AI531" s="60">
        <v>25682</v>
      </c>
      <c r="AJ531" s="124" t="s">
        <v>1476</v>
      </c>
      <c r="AK531" s="121" t="s">
        <v>1793</v>
      </c>
      <c r="AL531" s="107"/>
      <c r="AM531" s="108"/>
      <c r="AN531" s="109"/>
      <c r="AO531" s="108"/>
      <c r="AP531" s="108"/>
      <c r="AQ531" s="108"/>
      <c r="AR531" s="108"/>
      <c r="AS531" s="108"/>
      <c r="AT531" s="108"/>
      <c r="AU531" s="108"/>
      <c r="AV531" s="108"/>
      <c r="AW531" s="108"/>
      <c r="AX531" s="108">
        <v>500</v>
      </c>
      <c r="AY531" s="108">
        <f>500*55999.58</f>
        <v>27999790</v>
      </c>
      <c r="AZ531" s="108"/>
      <c r="BA531" s="108"/>
      <c r="BB531" s="108"/>
      <c r="BC531" s="108"/>
      <c r="BD531" s="108"/>
      <c r="BE531" s="108"/>
      <c r="BF531" s="108"/>
      <c r="BG531" s="108"/>
      <c r="BH531" s="108"/>
      <c r="BI531" s="108"/>
      <c r="BJ531" s="108"/>
      <c r="BK531" s="108"/>
      <c r="BL531" s="108"/>
      <c r="BM531" s="108"/>
      <c r="BN531" s="108"/>
      <c r="BO531" s="108"/>
      <c r="BP531" s="108"/>
      <c r="BQ531" s="108"/>
      <c r="BR531" s="108"/>
      <c r="BS531" s="108"/>
      <c r="BT531" s="108"/>
      <c r="BU531" s="108"/>
      <c r="BV531" s="108"/>
      <c r="BW531" s="108"/>
      <c r="BX531" s="108"/>
      <c r="BY531" s="108"/>
      <c r="BZ531" s="108"/>
      <c r="CA531" s="108"/>
      <c r="CB531" s="108"/>
      <c r="CC531" s="108"/>
      <c r="CD531" s="108"/>
      <c r="CE531" s="108"/>
      <c r="CF531" s="108"/>
      <c r="CG531" s="108"/>
      <c r="CH531" s="108"/>
      <c r="CI531" s="108"/>
      <c r="CJ531" s="108"/>
      <c r="CK531" s="108"/>
      <c r="CL531" s="108"/>
      <c r="CM531" s="108"/>
      <c r="CN531" s="110">
        <v>800</v>
      </c>
      <c r="CO531" s="111">
        <f>800*37999.14</f>
        <v>30399312</v>
      </c>
      <c r="CP531" s="110">
        <v>800</v>
      </c>
      <c r="CQ531" s="111">
        <f>800*35999.58</f>
        <v>28799664</v>
      </c>
      <c r="CR531" s="110"/>
      <c r="CS531" s="111"/>
      <c r="CT531" s="112">
        <f t="shared" si="140"/>
        <v>87198766</v>
      </c>
      <c r="CU531" s="113"/>
      <c r="CV531" s="114"/>
      <c r="CW531" s="115">
        <v>800</v>
      </c>
      <c r="CX531" s="116">
        <f>800*84998.46</f>
        <v>67998768</v>
      </c>
      <c r="CY531" s="117"/>
      <c r="CZ531" s="116"/>
      <c r="DA531" s="113">
        <v>500</v>
      </c>
      <c r="DB531" s="114">
        <f>500*18999.98+2000*249.99</f>
        <v>9999970</v>
      </c>
      <c r="DC531" s="64"/>
      <c r="DD531" s="118"/>
    </row>
    <row r="532" spans="1:108" ht="36" outlineLevel="2">
      <c r="A532" s="178">
        <v>40476</v>
      </c>
      <c r="B532" s="164" t="s">
        <v>1378</v>
      </c>
      <c r="C532" s="164" t="s">
        <v>1379</v>
      </c>
      <c r="D532" s="165" t="s">
        <v>1182</v>
      </c>
      <c r="E532" s="163"/>
      <c r="F532" s="105"/>
      <c r="G532" s="105"/>
      <c r="H532" s="105">
        <v>27</v>
      </c>
      <c r="I532" s="105">
        <v>5</v>
      </c>
      <c r="J532" s="105"/>
      <c r="K532" s="105">
        <v>5</v>
      </c>
      <c r="L532" s="105"/>
      <c r="M532" s="105"/>
      <c r="N532" s="105"/>
      <c r="O532" s="105"/>
      <c r="P532" s="105"/>
      <c r="Q532" s="105"/>
      <c r="R532" s="105"/>
      <c r="S532" s="105"/>
      <c r="T532" s="106"/>
      <c r="U532" s="130"/>
      <c r="V532" s="1"/>
      <c r="W532" s="68">
        <f t="shared" si="135"/>
        <v>0</v>
      </c>
      <c r="X532" s="68">
        <f t="shared" si="136"/>
        <v>0</v>
      </c>
      <c r="Y532" s="68">
        <f t="shared" si="137"/>
        <v>0</v>
      </c>
      <c r="Z532" s="68">
        <f t="shared" si="138"/>
        <v>0</v>
      </c>
      <c r="AA532" s="68"/>
      <c r="AB532" s="68">
        <v>0</v>
      </c>
      <c r="AC532" s="69">
        <f t="shared" si="139"/>
        <v>0</v>
      </c>
      <c r="AD532" s="70">
        <v>0</v>
      </c>
      <c r="AE532" s="63">
        <v>40477</v>
      </c>
      <c r="AF532" s="72"/>
      <c r="AG532" s="63" t="s">
        <v>938</v>
      </c>
      <c r="AH532" s="23" t="s">
        <v>939</v>
      </c>
      <c r="AI532" s="60"/>
      <c r="AJ532" s="124" t="s">
        <v>1608</v>
      </c>
      <c r="AK532" s="185" t="s">
        <v>1808</v>
      </c>
      <c r="AL532" s="123"/>
      <c r="AM532" s="108"/>
      <c r="AN532" s="109"/>
      <c r="AO532" s="108"/>
      <c r="AP532" s="108"/>
      <c r="AQ532" s="108"/>
      <c r="AR532" s="108"/>
      <c r="AS532" s="108"/>
      <c r="AT532" s="108"/>
      <c r="AU532" s="108"/>
      <c r="AV532" s="108"/>
      <c r="AW532" s="108"/>
      <c r="AX532" s="108"/>
      <c r="AY532" s="108"/>
      <c r="AZ532" s="108"/>
      <c r="BA532" s="108"/>
      <c r="BB532" s="108"/>
      <c r="BC532" s="108"/>
      <c r="BD532" s="108"/>
      <c r="BE532" s="108"/>
      <c r="BF532" s="108"/>
      <c r="BG532" s="108"/>
      <c r="BH532" s="108"/>
      <c r="BI532" s="108"/>
      <c r="BJ532" s="108"/>
      <c r="BK532" s="108"/>
      <c r="BL532" s="108"/>
      <c r="BM532" s="108"/>
      <c r="BN532" s="108"/>
      <c r="BO532" s="108"/>
      <c r="BP532" s="108"/>
      <c r="BQ532" s="108"/>
      <c r="BR532" s="108"/>
      <c r="BS532" s="108"/>
      <c r="BT532" s="108"/>
      <c r="BU532" s="108"/>
      <c r="BV532" s="108"/>
      <c r="BW532" s="108"/>
      <c r="BX532" s="108"/>
      <c r="BY532" s="108"/>
      <c r="BZ532" s="108"/>
      <c r="CA532" s="108"/>
      <c r="CB532" s="108"/>
      <c r="CC532" s="108"/>
      <c r="CD532" s="108"/>
      <c r="CE532" s="108"/>
      <c r="CF532" s="108"/>
      <c r="CG532" s="108"/>
      <c r="CH532" s="108"/>
      <c r="CI532" s="108"/>
      <c r="CJ532" s="108"/>
      <c r="CK532" s="108"/>
      <c r="CL532" s="108"/>
      <c r="CM532" s="108"/>
      <c r="CN532" s="110"/>
      <c r="CO532" s="111"/>
      <c r="CP532" s="110"/>
      <c r="CQ532" s="111"/>
      <c r="CR532" s="110"/>
      <c r="CS532" s="111"/>
      <c r="CT532" s="112">
        <f t="shared" si="140"/>
        <v>0</v>
      </c>
      <c r="CU532" s="113"/>
      <c r="CV532" s="114"/>
      <c r="CW532" s="115"/>
      <c r="CX532" s="116"/>
      <c r="CY532" s="117"/>
      <c r="CZ532" s="116"/>
      <c r="DA532" s="113"/>
      <c r="DB532" s="114"/>
      <c r="DC532" s="64"/>
      <c r="DD532" s="118"/>
    </row>
    <row r="533" spans="1:108" ht="36" outlineLevel="2">
      <c r="A533" s="178">
        <v>40483</v>
      </c>
      <c r="B533" s="164" t="s">
        <v>1378</v>
      </c>
      <c r="C533" s="164" t="s">
        <v>1023</v>
      </c>
      <c r="D533" s="166" t="s">
        <v>1262</v>
      </c>
      <c r="E533" s="163"/>
      <c r="F533" s="105"/>
      <c r="G533" s="105"/>
      <c r="H533" s="105">
        <v>140</v>
      </c>
      <c r="I533" s="105">
        <v>28</v>
      </c>
      <c r="J533" s="105"/>
      <c r="K533" s="105">
        <v>28</v>
      </c>
      <c r="L533" s="105"/>
      <c r="M533" s="105"/>
      <c r="N533" s="105"/>
      <c r="O533" s="105"/>
      <c r="P533" s="105"/>
      <c r="Q533" s="105"/>
      <c r="R533" s="105"/>
      <c r="S533" s="105"/>
      <c r="T533" s="106"/>
      <c r="U533" s="130"/>
      <c r="V533" s="1"/>
      <c r="W533" s="68">
        <f t="shared" si="135"/>
        <v>0</v>
      </c>
      <c r="X533" s="68">
        <f t="shared" si="136"/>
        <v>0</v>
      </c>
      <c r="Y533" s="68">
        <f t="shared" si="137"/>
        <v>0</v>
      </c>
      <c r="Z533" s="68">
        <f t="shared" si="138"/>
        <v>0</v>
      </c>
      <c r="AA533" s="68"/>
      <c r="AB533" s="68">
        <v>0</v>
      </c>
      <c r="AC533" s="69">
        <f t="shared" si="139"/>
        <v>0</v>
      </c>
      <c r="AD533" s="70">
        <v>0</v>
      </c>
      <c r="AE533" s="63">
        <v>40484</v>
      </c>
      <c r="AF533" s="72"/>
      <c r="AG533" s="63" t="s">
        <v>938</v>
      </c>
      <c r="AH533" s="23" t="s">
        <v>939</v>
      </c>
      <c r="AI533" s="83"/>
      <c r="AJ533" s="124" t="s">
        <v>1608</v>
      </c>
      <c r="AK533" s="121" t="s">
        <v>1024</v>
      </c>
      <c r="AL533" s="107"/>
      <c r="AM533" s="108"/>
      <c r="AN533" s="109"/>
      <c r="AO533" s="108"/>
      <c r="AP533" s="108"/>
      <c r="AQ533" s="108"/>
      <c r="AR533" s="108"/>
      <c r="AS533" s="108"/>
      <c r="AT533" s="108"/>
      <c r="AU533" s="108"/>
      <c r="AV533" s="108"/>
      <c r="AW533" s="108"/>
      <c r="AX533" s="108"/>
      <c r="AY533" s="108"/>
      <c r="AZ533" s="108"/>
      <c r="BA533" s="108"/>
      <c r="BB533" s="108"/>
      <c r="BC533" s="108"/>
      <c r="BD533" s="108"/>
      <c r="BE533" s="108"/>
      <c r="BF533" s="108"/>
      <c r="BG533" s="108"/>
      <c r="BH533" s="108"/>
      <c r="BI533" s="108"/>
      <c r="BJ533" s="108"/>
      <c r="BK533" s="108"/>
      <c r="BL533" s="108"/>
      <c r="BM533" s="108"/>
      <c r="BN533" s="108"/>
      <c r="BO533" s="108"/>
      <c r="BP533" s="108"/>
      <c r="BQ533" s="108"/>
      <c r="BR533" s="108"/>
      <c r="BS533" s="108"/>
      <c r="BT533" s="108"/>
      <c r="BU533" s="108"/>
      <c r="BV533" s="108"/>
      <c r="BW533" s="108"/>
      <c r="BX533" s="108"/>
      <c r="BY533" s="108"/>
      <c r="BZ533" s="108"/>
      <c r="CA533" s="108"/>
      <c r="CB533" s="108"/>
      <c r="CC533" s="108"/>
      <c r="CD533" s="108"/>
      <c r="CE533" s="108"/>
      <c r="CF533" s="108"/>
      <c r="CG533" s="108"/>
      <c r="CH533" s="108"/>
      <c r="CI533" s="108"/>
      <c r="CJ533" s="108"/>
      <c r="CK533" s="108"/>
      <c r="CL533" s="108"/>
      <c r="CM533" s="108"/>
      <c r="CN533" s="110"/>
      <c r="CO533" s="111"/>
      <c r="CP533" s="110"/>
      <c r="CQ533" s="111"/>
      <c r="CR533" s="110"/>
      <c r="CS533" s="111"/>
      <c r="CT533" s="112">
        <f t="shared" si="140"/>
        <v>0</v>
      </c>
      <c r="CU533" s="113"/>
      <c r="CV533" s="114"/>
      <c r="CW533" s="115"/>
      <c r="CX533" s="116"/>
      <c r="CY533" s="117"/>
      <c r="CZ533" s="116"/>
      <c r="DA533" s="113"/>
      <c r="DB533" s="114"/>
      <c r="DC533" s="64"/>
      <c r="DD533" s="118"/>
    </row>
    <row r="534" spans="1:108" ht="84" outlineLevel="2">
      <c r="A534" s="178">
        <v>40485</v>
      </c>
      <c r="B534" s="164" t="s">
        <v>1378</v>
      </c>
      <c r="C534" s="164" t="s">
        <v>370</v>
      </c>
      <c r="D534" s="166" t="s">
        <v>1262</v>
      </c>
      <c r="E534" s="163"/>
      <c r="F534" s="105"/>
      <c r="G534" s="105"/>
      <c r="H534" s="105">
        <v>1225</v>
      </c>
      <c r="I534" s="105">
        <v>245</v>
      </c>
      <c r="J534" s="105">
        <v>45</v>
      </c>
      <c r="K534" s="105">
        <v>200</v>
      </c>
      <c r="L534" s="105">
        <v>9</v>
      </c>
      <c r="M534" s="105"/>
      <c r="N534" s="105"/>
      <c r="O534" s="105">
        <v>3</v>
      </c>
      <c r="P534" s="105"/>
      <c r="Q534" s="105"/>
      <c r="R534" s="105"/>
      <c r="S534" s="105"/>
      <c r="T534" s="106"/>
      <c r="U534" s="130"/>
      <c r="V534" s="1"/>
      <c r="W534" s="68">
        <f t="shared" si="135"/>
        <v>0</v>
      </c>
      <c r="X534" s="68">
        <f t="shared" si="136"/>
        <v>0</v>
      </c>
      <c r="Y534" s="68">
        <f t="shared" si="137"/>
        <v>0</v>
      </c>
      <c r="Z534" s="68">
        <f t="shared" si="138"/>
        <v>0</v>
      </c>
      <c r="AA534" s="68"/>
      <c r="AB534" s="68">
        <v>0</v>
      </c>
      <c r="AC534" s="69">
        <f t="shared" si="139"/>
        <v>0</v>
      </c>
      <c r="AD534" s="70">
        <v>0</v>
      </c>
      <c r="AE534" s="63">
        <v>40484</v>
      </c>
      <c r="AF534" s="72"/>
      <c r="AG534" s="63" t="s">
        <v>938</v>
      </c>
      <c r="AH534" s="23" t="s">
        <v>939</v>
      </c>
      <c r="AI534" s="83"/>
      <c r="AJ534" s="124" t="s">
        <v>1608</v>
      </c>
      <c r="AK534" s="121" t="s">
        <v>371</v>
      </c>
      <c r="AL534" s="107"/>
      <c r="AM534" s="108"/>
      <c r="AN534" s="109"/>
      <c r="AO534" s="108"/>
      <c r="AP534" s="108"/>
      <c r="AQ534" s="108"/>
      <c r="AR534" s="108"/>
      <c r="AS534" s="108"/>
      <c r="AT534" s="108"/>
      <c r="AU534" s="108"/>
      <c r="AV534" s="108"/>
      <c r="AW534" s="108"/>
      <c r="AX534" s="108"/>
      <c r="AY534" s="108"/>
      <c r="AZ534" s="108"/>
      <c r="BA534" s="108"/>
      <c r="BB534" s="108"/>
      <c r="BC534" s="108"/>
      <c r="BD534" s="108"/>
      <c r="BE534" s="108"/>
      <c r="BF534" s="108"/>
      <c r="BG534" s="108"/>
      <c r="BH534" s="108"/>
      <c r="BI534" s="108"/>
      <c r="BJ534" s="108"/>
      <c r="BK534" s="108"/>
      <c r="BL534" s="108"/>
      <c r="BM534" s="108"/>
      <c r="BN534" s="108"/>
      <c r="BO534" s="108"/>
      <c r="BP534" s="108"/>
      <c r="BQ534" s="108"/>
      <c r="BR534" s="108"/>
      <c r="BS534" s="108"/>
      <c r="BT534" s="108"/>
      <c r="BU534" s="108"/>
      <c r="BV534" s="108"/>
      <c r="BW534" s="108"/>
      <c r="BX534" s="108"/>
      <c r="BY534" s="108"/>
      <c r="BZ534" s="108"/>
      <c r="CA534" s="108"/>
      <c r="CB534" s="108"/>
      <c r="CC534" s="108"/>
      <c r="CD534" s="108"/>
      <c r="CE534" s="108"/>
      <c r="CF534" s="108"/>
      <c r="CG534" s="108"/>
      <c r="CH534" s="108"/>
      <c r="CI534" s="108"/>
      <c r="CJ534" s="108"/>
      <c r="CK534" s="108"/>
      <c r="CL534" s="108"/>
      <c r="CM534" s="108"/>
      <c r="CN534" s="110"/>
      <c r="CO534" s="111"/>
      <c r="CP534" s="110"/>
      <c r="CQ534" s="111"/>
      <c r="CR534" s="110"/>
      <c r="CS534" s="111"/>
      <c r="CT534" s="112">
        <f t="shared" si="140"/>
        <v>0</v>
      </c>
      <c r="CU534" s="113"/>
      <c r="CV534" s="114"/>
      <c r="CW534" s="115"/>
      <c r="CX534" s="116"/>
      <c r="CY534" s="117"/>
      <c r="CZ534" s="116"/>
      <c r="DA534" s="113"/>
      <c r="DB534" s="114"/>
      <c r="DC534" s="64"/>
      <c r="DD534" s="118"/>
    </row>
    <row r="535" spans="1:108" ht="36" outlineLevel="2">
      <c r="A535" s="178">
        <v>40485</v>
      </c>
      <c r="B535" s="164" t="s">
        <v>1378</v>
      </c>
      <c r="C535" s="164" t="s">
        <v>949</v>
      </c>
      <c r="D535" s="166" t="s">
        <v>435</v>
      </c>
      <c r="E535" s="163"/>
      <c r="F535" s="105"/>
      <c r="G535" s="105"/>
      <c r="H535" s="105">
        <v>115</v>
      </c>
      <c r="I535" s="105">
        <v>23</v>
      </c>
      <c r="J535" s="105"/>
      <c r="K535" s="105">
        <v>23</v>
      </c>
      <c r="L535" s="105"/>
      <c r="M535" s="105"/>
      <c r="N535" s="105"/>
      <c r="O535" s="105"/>
      <c r="P535" s="105"/>
      <c r="Q535" s="105">
        <v>1</v>
      </c>
      <c r="R535" s="105"/>
      <c r="S535" s="105">
        <v>1</v>
      </c>
      <c r="T535" s="106"/>
      <c r="U535" s="130"/>
      <c r="V535" s="1"/>
      <c r="W535" s="68">
        <f t="shared" si="135"/>
        <v>0</v>
      </c>
      <c r="X535" s="68">
        <f t="shared" si="136"/>
        <v>0</v>
      </c>
      <c r="Y535" s="68">
        <f t="shared" si="137"/>
        <v>0</v>
      </c>
      <c r="Z535" s="68">
        <f t="shared" si="138"/>
        <v>0</v>
      </c>
      <c r="AA535" s="68"/>
      <c r="AB535" s="68">
        <v>0</v>
      </c>
      <c r="AC535" s="69">
        <f t="shared" si="139"/>
        <v>0</v>
      </c>
      <c r="AD535" s="70">
        <v>0</v>
      </c>
      <c r="AE535" s="63">
        <v>40484</v>
      </c>
      <c r="AF535" s="72"/>
      <c r="AG535" s="63" t="s">
        <v>938</v>
      </c>
      <c r="AH535" s="23" t="s">
        <v>939</v>
      </c>
      <c r="AI535" s="83"/>
      <c r="AJ535" s="124" t="s">
        <v>1608</v>
      </c>
      <c r="AK535" s="121" t="s">
        <v>372</v>
      </c>
      <c r="AL535" s="107"/>
      <c r="AM535" s="108"/>
      <c r="AN535" s="109"/>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c r="BU535" s="108"/>
      <c r="BV535" s="108"/>
      <c r="BW535" s="108"/>
      <c r="BX535" s="108"/>
      <c r="BY535" s="108"/>
      <c r="BZ535" s="108"/>
      <c r="CA535" s="108"/>
      <c r="CB535" s="108"/>
      <c r="CC535" s="108"/>
      <c r="CD535" s="108"/>
      <c r="CE535" s="108"/>
      <c r="CF535" s="108"/>
      <c r="CG535" s="108"/>
      <c r="CH535" s="108"/>
      <c r="CI535" s="108"/>
      <c r="CJ535" s="108"/>
      <c r="CK535" s="108"/>
      <c r="CL535" s="108"/>
      <c r="CM535" s="108"/>
      <c r="CN535" s="110"/>
      <c r="CO535" s="111"/>
      <c r="CP535" s="110"/>
      <c r="CQ535" s="111"/>
      <c r="CR535" s="110"/>
      <c r="CS535" s="111"/>
      <c r="CT535" s="112">
        <f t="shared" si="140"/>
        <v>0</v>
      </c>
      <c r="CU535" s="113"/>
      <c r="CV535" s="114"/>
      <c r="CW535" s="115"/>
      <c r="CX535" s="116"/>
      <c r="CY535" s="117"/>
      <c r="CZ535" s="116"/>
      <c r="DA535" s="113"/>
      <c r="DB535" s="114"/>
      <c r="DC535" s="64"/>
      <c r="DD535" s="118"/>
    </row>
    <row r="536" spans="1:108" ht="36" outlineLevel="2">
      <c r="A536" s="178">
        <v>40486</v>
      </c>
      <c r="B536" s="164" t="s">
        <v>1378</v>
      </c>
      <c r="C536" s="164" t="s">
        <v>1428</v>
      </c>
      <c r="D536" s="166" t="s">
        <v>435</v>
      </c>
      <c r="E536" s="163"/>
      <c r="F536" s="105"/>
      <c r="G536" s="105"/>
      <c r="H536" s="105">
        <v>1860</v>
      </c>
      <c r="I536" s="105">
        <v>372</v>
      </c>
      <c r="J536" s="105"/>
      <c r="K536" s="105">
        <v>372</v>
      </c>
      <c r="L536" s="105">
        <v>1</v>
      </c>
      <c r="M536" s="105"/>
      <c r="N536" s="105"/>
      <c r="O536" s="105"/>
      <c r="P536" s="105"/>
      <c r="Q536" s="105"/>
      <c r="R536" s="105"/>
      <c r="S536" s="105"/>
      <c r="T536" s="106"/>
      <c r="U536" s="130"/>
      <c r="V536" s="1"/>
      <c r="W536" s="68">
        <f t="shared" si="135"/>
        <v>0</v>
      </c>
      <c r="X536" s="68">
        <f t="shared" si="136"/>
        <v>0</v>
      </c>
      <c r="Y536" s="68">
        <f t="shared" si="137"/>
        <v>0</v>
      </c>
      <c r="Z536" s="68">
        <f t="shared" si="138"/>
        <v>0</v>
      </c>
      <c r="AA536" s="68"/>
      <c r="AB536" s="68">
        <v>0</v>
      </c>
      <c r="AC536" s="69">
        <f t="shared" si="139"/>
        <v>0</v>
      </c>
      <c r="AD536" s="70">
        <v>0</v>
      </c>
      <c r="AE536" s="63">
        <v>40490</v>
      </c>
      <c r="AF536" s="72"/>
      <c r="AG536" s="63" t="s">
        <v>938</v>
      </c>
      <c r="AH536" s="23" t="s">
        <v>939</v>
      </c>
      <c r="AI536" s="60"/>
      <c r="AJ536" s="124" t="s">
        <v>1608</v>
      </c>
      <c r="AK536" s="121" t="s">
        <v>409</v>
      </c>
      <c r="AL536" s="107"/>
      <c r="AM536" s="108"/>
      <c r="AN536" s="109"/>
      <c r="AO536" s="108"/>
      <c r="AP536" s="108"/>
      <c r="AQ536" s="108"/>
      <c r="AR536" s="108"/>
      <c r="AS536" s="108"/>
      <c r="AT536" s="108"/>
      <c r="AU536" s="108"/>
      <c r="AV536" s="108"/>
      <c r="AW536" s="108"/>
      <c r="AX536" s="108"/>
      <c r="AY536" s="108"/>
      <c r="AZ536" s="108"/>
      <c r="BA536" s="108"/>
      <c r="BB536" s="108"/>
      <c r="BC536" s="108"/>
      <c r="BD536" s="108"/>
      <c r="BE536" s="108"/>
      <c r="BF536" s="108"/>
      <c r="BG536" s="108"/>
      <c r="BH536" s="108"/>
      <c r="BI536" s="108"/>
      <c r="BJ536" s="108"/>
      <c r="BK536" s="108"/>
      <c r="BL536" s="108"/>
      <c r="BM536" s="108"/>
      <c r="BN536" s="108"/>
      <c r="BO536" s="108"/>
      <c r="BP536" s="108"/>
      <c r="BQ536" s="108"/>
      <c r="BR536" s="108"/>
      <c r="BS536" s="108"/>
      <c r="BT536" s="108"/>
      <c r="BU536" s="108"/>
      <c r="BV536" s="108"/>
      <c r="BW536" s="108"/>
      <c r="BX536" s="108"/>
      <c r="BY536" s="108"/>
      <c r="BZ536" s="108"/>
      <c r="CA536" s="108"/>
      <c r="CB536" s="108"/>
      <c r="CC536" s="108"/>
      <c r="CD536" s="108"/>
      <c r="CE536" s="108"/>
      <c r="CF536" s="108"/>
      <c r="CG536" s="108"/>
      <c r="CH536" s="108"/>
      <c r="CI536" s="108"/>
      <c r="CJ536" s="108"/>
      <c r="CK536" s="108"/>
      <c r="CL536" s="108"/>
      <c r="CM536" s="108"/>
      <c r="CN536" s="110"/>
      <c r="CO536" s="111"/>
      <c r="CP536" s="110"/>
      <c r="CQ536" s="111"/>
      <c r="CR536" s="110"/>
      <c r="CS536" s="111"/>
      <c r="CT536" s="112">
        <f t="shared" si="140"/>
        <v>0</v>
      </c>
      <c r="CU536" s="113"/>
      <c r="CV536" s="114"/>
      <c r="CW536" s="115"/>
      <c r="CX536" s="116"/>
      <c r="CY536" s="117"/>
      <c r="CZ536" s="116"/>
      <c r="DA536" s="113"/>
      <c r="DB536" s="114"/>
      <c r="DC536" s="64"/>
      <c r="DD536" s="118"/>
    </row>
    <row r="537" spans="1:108" ht="48" outlineLevel="2">
      <c r="A537" s="178">
        <v>40486</v>
      </c>
      <c r="B537" s="164" t="s">
        <v>1378</v>
      </c>
      <c r="C537" s="164" t="s">
        <v>1379</v>
      </c>
      <c r="D537" s="165" t="s">
        <v>1182</v>
      </c>
      <c r="E537" s="163"/>
      <c r="F537" s="105"/>
      <c r="G537" s="105"/>
      <c r="H537" s="105">
        <v>60</v>
      </c>
      <c r="I537" s="105">
        <v>14</v>
      </c>
      <c r="J537" s="105">
        <v>14</v>
      </c>
      <c r="K537" s="105"/>
      <c r="L537" s="105"/>
      <c r="M537" s="105"/>
      <c r="N537" s="105"/>
      <c r="O537" s="105"/>
      <c r="P537" s="105"/>
      <c r="Q537" s="105"/>
      <c r="R537" s="105"/>
      <c r="S537" s="105"/>
      <c r="T537" s="106"/>
      <c r="U537" s="130"/>
      <c r="V537" s="1"/>
      <c r="W537" s="68">
        <f t="shared" si="135"/>
        <v>0</v>
      </c>
      <c r="X537" s="68">
        <f t="shared" si="136"/>
        <v>0</v>
      </c>
      <c r="Y537" s="68">
        <f t="shared" si="137"/>
        <v>0</v>
      </c>
      <c r="Z537" s="68">
        <f t="shared" si="138"/>
        <v>0</v>
      </c>
      <c r="AA537" s="68"/>
      <c r="AB537" s="68">
        <v>0</v>
      </c>
      <c r="AC537" s="69">
        <f t="shared" si="139"/>
        <v>0</v>
      </c>
      <c r="AD537" s="70">
        <v>0</v>
      </c>
      <c r="AE537" s="63">
        <v>40487</v>
      </c>
      <c r="AF537" s="72"/>
      <c r="AG537" s="63" t="s">
        <v>938</v>
      </c>
      <c r="AH537" s="23" t="s">
        <v>939</v>
      </c>
      <c r="AI537" s="60"/>
      <c r="AJ537" s="124" t="s">
        <v>1608</v>
      </c>
      <c r="AK537" s="121" t="s">
        <v>394</v>
      </c>
      <c r="AL537" s="107"/>
      <c r="AM537" s="108"/>
      <c r="AN537" s="109"/>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c r="BU537" s="108"/>
      <c r="BV537" s="108"/>
      <c r="BW537" s="108"/>
      <c r="BX537" s="108"/>
      <c r="BY537" s="108"/>
      <c r="BZ537" s="108"/>
      <c r="CA537" s="108"/>
      <c r="CB537" s="108"/>
      <c r="CC537" s="108"/>
      <c r="CD537" s="108"/>
      <c r="CE537" s="108"/>
      <c r="CF537" s="108"/>
      <c r="CG537" s="108"/>
      <c r="CH537" s="108"/>
      <c r="CI537" s="108"/>
      <c r="CJ537" s="108"/>
      <c r="CK537" s="108"/>
      <c r="CL537" s="108"/>
      <c r="CM537" s="108"/>
      <c r="CN537" s="110"/>
      <c r="CO537" s="111"/>
      <c r="CP537" s="110"/>
      <c r="CQ537" s="111"/>
      <c r="CR537" s="110"/>
      <c r="CS537" s="111"/>
      <c r="CT537" s="112">
        <f t="shared" si="140"/>
        <v>0</v>
      </c>
      <c r="CU537" s="113"/>
      <c r="CV537" s="114"/>
      <c r="CW537" s="115"/>
      <c r="CX537" s="116"/>
      <c r="CY537" s="117"/>
      <c r="CZ537" s="116"/>
      <c r="DA537" s="113"/>
      <c r="DB537" s="114"/>
      <c r="DC537" s="64"/>
      <c r="DD537" s="118"/>
    </row>
    <row r="538" spans="1:108" ht="216" outlineLevel="2">
      <c r="A538" s="178">
        <v>40486</v>
      </c>
      <c r="B538" s="164" t="s">
        <v>1378</v>
      </c>
      <c r="C538" s="164" t="s">
        <v>410</v>
      </c>
      <c r="D538" s="166" t="s">
        <v>1262</v>
      </c>
      <c r="E538" s="163"/>
      <c r="F538" s="105"/>
      <c r="G538" s="105"/>
      <c r="H538" s="105">
        <v>3525</v>
      </c>
      <c r="I538" s="105">
        <v>705</v>
      </c>
      <c r="J538" s="105"/>
      <c r="K538" s="105">
        <v>705</v>
      </c>
      <c r="L538" s="105">
        <v>5</v>
      </c>
      <c r="M538" s="105"/>
      <c r="N538" s="105"/>
      <c r="O538" s="105">
        <v>5</v>
      </c>
      <c r="P538" s="105"/>
      <c r="Q538" s="105"/>
      <c r="R538" s="105">
        <v>2</v>
      </c>
      <c r="S538" s="105"/>
      <c r="T538" s="106"/>
      <c r="U538" s="130"/>
      <c r="V538" s="1"/>
      <c r="W538" s="68">
        <f t="shared" si="135"/>
        <v>0</v>
      </c>
      <c r="X538" s="68">
        <f t="shared" si="136"/>
        <v>0</v>
      </c>
      <c r="Y538" s="68">
        <f t="shared" si="137"/>
        <v>0</v>
      </c>
      <c r="Z538" s="68">
        <f t="shared" si="138"/>
        <v>0</v>
      </c>
      <c r="AA538" s="68"/>
      <c r="AB538" s="68">
        <v>0</v>
      </c>
      <c r="AC538" s="69">
        <f t="shared" si="139"/>
        <v>0</v>
      </c>
      <c r="AD538" s="70">
        <v>0</v>
      </c>
      <c r="AE538" s="63">
        <v>40490</v>
      </c>
      <c r="AF538" s="72"/>
      <c r="AG538" s="63" t="s">
        <v>938</v>
      </c>
      <c r="AH538" s="23" t="s">
        <v>939</v>
      </c>
      <c r="AI538" s="60"/>
      <c r="AJ538" s="124" t="s">
        <v>1608</v>
      </c>
      <c r="AK538" s="121" t="s">
        <v>121</v>
      </c>
      <c r="AL538" s="107"/>
      <c r="AM538" s="108"/>
      <c r="AN538" s="109"/>
      <c r="AO538" s="108"/>
      <c r="AP538" s="108"/>
      <c r="AQ538" s="108"/>
      <c r="AR538" s="108"/>
      <c r="AS538" s="108"/>
      <c r="AT538" s="108"/>
      <c r="AU538" s="108"/>
      <c r="AV538" s="108"/>
      <c r="AW538" s="108"/>
      <c r="AX538" s="108"/>
      <c r="AY538" s="108"/>
      <c r="AZ538" s="108"/>
      <c r="BA538" s="108"/>
      <c r="BB538" s="108"/>
      <c r="BC538" s="108"/>
      <c r="BD538" s="108"/>
      <c r="BE538" s="108"/>
      <c r="BF538" s="108"/>
      <c r="BG538" s="108"/>
      <c r="BH538" s="108"/>
      <c r="BI538" s="108"/>
      <c r="BJ538" s="108"/>
      <c r="BK538" s="108"/>
      <c r="BL538" s="108"/>
      <c r="BM538" s="108"/>
      <c r="BN538" s="108"/>
      <c r="BO538" s="108"/>
      <c r="BP538" s="108"/>
      <c r="BQ538" s="108"/>
      <c r="BR538" s="108"/>
      <c r="BS538" s="108"/>
      <c r="BT538" s="108"/>
      <c r="BU538" s="108"/>
      <c r="BV538" s="108"/>
      <c r="BW538" s="108"/>
      <c r="BX538" s="108"/>
      <c r="BY538" s="108"/>
      <c r="BZ538" s="108"/>
      <c r="CA538" s="108"/>
      <c r="CB538" s="108"/>
      <c r="CC538" s="108"/>
      <c r="CD538" s="108"/>
      <c r="CE538" s="108"/>
      <c r="CF538" s="108"/>
      <c r="CG538" s="108"/>
      <c r="CH538" s="108"/>
      <c r="CI538" s="108"/>
      <c r="CJ538" s="108"/>
      <c r="CK538" s="108"/>
      <c r="CL538" s="108"/>
      <c r="CM538" s="108"/>
      <c r="CN538" s="110"/>
      <c r="CO538" s="111"/>
      <c r="CP538" s="110"/>
      <c r="CQ538" s="111"/>
      <c r="CR538" s="110"/>
      <c r="CS538" s="111"/>
      <c r="CT538" s="112">
        <f t="shared" si="140"/>
        <v>0</v>
      </c>
      <c r="CU538" s="113"/>
      <c r="CV538" s="114"/>
      <c r="CW538" s="115"/>
      <c r="CX538" s="116"/>
      <c r="CY538" s="117"/>
      <c r="CZ538" s="116"/>
      <c r="DA538" s="113"/>
      <c r="DB538" s="114"/>
      <c r="DC538" s="64"/>
      <c r="DD538" s="118"/>
    </row>
    <row r="539" spans="1:108" ht="72" outlineLevel="2">
      <c r="A539" s="178">
        <v>40487</v>
      </c>
      <c r="B539" s="164" t="s">
        <v>1378</v>
      </c>
      <c r="C539" s="164" t="s">
        <v>253</v>
      </c>
      <c r="D539" s="166" t="s">
        <v>1262</v>
      </c>
      <c r="E539" s="163"/>
      <c r="F539" s="105"/>
      <c r="G539" s="105"/>
      <c r="H539" s="105">
        <v>500</v>
      </c>
      <c r="I539" s="105">
        <v>100</v>
      </c>
      <c r="J539" s="105"/>
      <c r="K539" s="105">
        <v>100</v>
      </c>
      <c r="L539" s="105">
        <v>4</v>
      </c>
      <c r="M539" s="105">
        <v>7</v>
      </c>
      <c r="N539" s="105"/>
      <c r="O539" s="105">
        <v>3</v>
      </c>
      <c r="P539" s="105"/>
      <c r="Q539" s="105"/>
      <c r="R539" s="105">
        <v>2</v>
      </c>
      <c r="S539" s="105"/>
      <c r="T539" s="106">
        <v>630</v>
      </c>
      <c r="U539" s="130" t="s">
        <v>118</v>
      </c>
      <c r="V539" s="1"/>
      <c r="W539" s="68">
        <f t="shared" si="135"/>
        <v>0</v>
      </c>
      <c r="X539" s="68">
        <f t="shared" si="136"/>
        <v>0</v>
      </c>
      <c r="Y539" s="68">
        <f t="shared" si="137"/>
        <v>0</v>
      </c>
      <c r="Z539" s="68">
        <f t="shared" si="138"/>
        <v>0</v>
      </c>
      <c r="AA539" s="68"/>
      <c r="AB539" s="68">
        <v>0</v>
      </c>
      <c r="AC539" s="69">
        <f t="shared" si="139"/>
        <v>0</v>
      </c>
      <c r="AD539" s="70">
        <v>0</v>
      </c>
      <c r="AE539" s="63"/>
      <c r="AF539" s="72"/>
      <c r="AG539" s="63"/>
      <c r="AH539" s="23"/>
      <c r="AI539" s="60"/>
      <c r="AJ539" s="124"/>
      <c r="AK539" s="121" t="s">
        <v>117</v>
      </c>
      <c r="AL539" s="107"/>
      <c r="AM539" s="108"/>
      <c r="AN539" s="109"/>
      <c r="AO539" s="108"/>
      <c r="AP539" s="108"/>
      <c r="AQ539" s="108"/>
      <c r="AR539" s="108"/>
      <c r="AS539" s="108"/>
      <c r="AT539" s="108"/>
      <c r="AU539" s="108"/>
      <c r="AV539" s="108"/>
      <c r="AW539" s="108"/>
      <c r="AX539" s="108"/>
      <c r="AY539" s="108"/>
      <c r="AZ539" s="108"/>
      <c r="BA539" s="108"/>
      <c r="BB539" s="108"/>
      <c r="BC539" s="108"/>
      <c r="BD539" s="108"/>
      <c r="BE539" s="108"/>
      <c r="BF539" s="108"/>
      <c r="BG539" s="108"/>
      <c r="BH539" s="108"/>
      <c r="BI539" s="108"/>
      <c r="BJ539" s="108"/>
      <c r="BK539" s="108"/>
      <c r="BL539" s="108"/>
      <c r="BM539" s="108"/>
      <c r="BN539" s="108"/>
      <c r="BO539" s="108"/>
      <c r="BP539" s="108"/>
      <c r="BQ539" s="108"/>
      <c r="BR539" s="108"/>
      <c r="BS539" s="108"/>
      <c r="BT539" s="108"/>
      <c r="BU539" s="108"/>
      <c r="BV539" s="108"/>
      <c r="BW539" s="108"/>
      <c r="BX539" s="108"/>
      <c r="BY539" s="108"/>
      <c r="BZ539" s="108"/>
      <c r="CA539" s="108"/>
      <c r="CB539" s="108"/>
      <c r="CC539" s="108"/>
      <c r="CD539" s="108"/>
      <c r="CE539" s="108"/>
      <c r="CF539" s="108"/>
      <c r="CG539" s="108"/>
      <c r="CH539" s="108"/>
      <c r="CI539" s="108"/>
      <c r="CJ539" s="108"/>
      <c r="CK539" s="108"/>
      <c r="CL539" s="108"/>
      <c r="CM539" s="108"/>
      <c r="CN539" s="110"/>
      <c r="CO539" s="111"/>
      <c r="CP539" s="110"/>
      <c r="CQ539" s="111"/>
      <c r="CR539" s="110"/>
      <c r="CS539" s="111"/>
      <c r="CT539" s="112">
        <f t="shared" si="140"/>
        <v>0</v>
      </c>
      <c r="CU539" s="113"/>
      <c r="CV539" s="114"/>
      <c r="CW539" s="115"/>
      <c r="CX539" s="116"/>
      <c r="CY539" s="117"/>
      <c r="CZ539" s="116"/>
      <c r="DA539" s="113"/>
      <c r="DB539" s="114"/>
      <c r="DC539" s="64"/>
      <c r="DD539" s="118"/>
    </row>
    <row r="540" spans="1:108" ht="108" outlineLevel="2">
      <c r="A540" s="178">
        <v>40488</v>
      </c>
      <c r="B540" s="164" t="s">
        <v>1378</v>
      </c>
      <c r="C540" s="164" t="s">
        <v>2379</v>
      </c>
      <c r="D540" s="166" t="s">
        <v>1262</v>
      </c>
      <c r="E540" s="163"/>
      <c r="F540" s="105"/>
      <c r="G540" s="105"/>
      <c r="H540" s="105">
        <f>108*5</f>
        <v>540</v>
      </c>
      <c r="I540" s="105">
        <v>108</v>
      </c>
      <c r="J540" s="105"/>
      <c r="K540" s="105">
        <v>108</v>
      </c>
      <c r="L540" s="105">
        <v>8</v>
      </c>
      <c r="M540" s="105"/>
      <c r="N540" s="105"/>
      <c r="O540" s="105">
        <v>1</v>
      </c>
      <c r="P540" s="105"/>
      <c r="Q540" s="105">
        <v>3</v>
      </c>
      <c r="R540" s="105">
        <v>1</v>
      </c>
      <c r="S540" s="105"/>
      <c r="T540" s="106"/>
      <c r="U540" s="130" t="s">
        <v>124</v>
      </c>
      <c r="V540" s="1"/>
      <c r="W540" s="68">
        <f t="shared" si="135"/>
        <v>0</v>
      </c>
      <c r="X540" s="68">
        <f t="shared" si="136"/>
        <v>0</v>
      </c>
      <c r="Y540" s="68">
        <f t="shared" si="137"/>
        <v>0</v>
      </c>
      <c r="Z540" s="68">
        <f t="shared" si="138"/>
        <v>0</v>
      </c>
      <c r="AA540" s="68"/>
      <c r="AB540" s="68">
        <v>0</v>
      </c>
      <c r="AC540" s="69">
        <f t="shared" si="139"/>
        <v>0</v>
      </c>
      <c r="AD540" s="70">
        <v>0</v>
      </c>
      <c r="AE540" s="63">
        <v>40490</v>
      </c>
      <c r="AF540" s="72"/>
      <c r="AG540" s="63" t="s">
        <v>938</v>
      </c>
      <c r="AH540" s="23" t="s">
        <v>939</v>
      </c>
      <c r="AI540" s="60"/>
      <c r="AJ540" s="124" t="s">
        <v>1608</v>
      </c>
      <c r="AK540" s="121" t="s">
        <v>123</v>
      </c>
      <c r="AL540" s="107"/>
      <c r="AM540" s="108"/>
      <c r="AN540" s="109"/>
      <c r="AO540" s="108"/>
      <c r="AP540" s="108"/>
      <c r="AQ540" s="108"/>
      <c r="AR540" s="108"/>
      <c r="AS540" s="108"/>
      <c r="AT540" s="108"/>
      <c r="AU540" s="108"/>
      <c r="AV540" s="108"/>
      <c r="AW540" s="108"/>
      <c r="AX540" s="108"/>
      <c r="AY540" s="108"/>
      <c r="AZ540" s="108"/>
      <c r="BA540" s="108"/>
      <c r="BB540" s="108"/>
      <c r="BC540" s="108"/>
      <c r="BD540" s="108"/>
      <c r="BE540" s="108"/>
      <c r="BF540" s="108"/>
      <c r="BG540" s="108"/>
      <c r="BH540" s="108"/>
      <c r="BI540" s="108"/>
      <c r="BJ540" s="108"/>
      <c r="BK540" s="108"/>
      <c r="BL540" s="108"/>
      <c r="BM540" s="108"/>
      <c r="BN540" s="108"/>
      <c r="BO540" s="108"/>
      <c r="BP540" s="108"/>
      <c r="BQ540" s="108"/>
      <c r="BR540" s="108"/>
      <c r="BS540" s="108"/>
      <c r="BT540" s="108"/>
      <c r="BU540" s="108"/>
      <c r="BV540" s="108"/>
      <c r="BW540" s="108"/>
      <c r="BX540" s="108"/>
      <c r="BY540" s="108"/>
      <c r="BZ540" s="108"/>
      <c r="CA540" s="108"/>
      <c r="CB540" s="108"/>
      <c r="CC540" s="108"/>
      <c r="CD540" s="108"/>
      <c r="CE540" s="108"/>
      <c r="CF540" s="108"/>
      <c r="CG540" s="108"/>
      <c r="CH540" s="108"/>
      <c r="CI540" s="108"/>
      <c r="CJ540" s="108"/>
      <c r="CK540" s="108"/>
      <c r="CL540" s="108"/>
      <c r="CM540" s="108"/>
      <c r="CN540" s="110"/>
      <c r="CO540" s="111"/>
      <c r="CP540" s="110"/>
      <c r="CQ540" s="111"/>
      <c r="CR540" s="110"/>
      <c r="CS540" s="111"/>
      <c r="CT540" s="112">
        <f t="shared" si="140"/>
        <v>0</v>
      </c>
      <c r="CU540" s="113"/>
      <c r="CV540" s="114"/>
      <c r="CW540" s="115"/>
      <c r="CX540" s="116"/>
      <c r="CY540" s="117"/>
      <c r="CZ540" s="116"/>
      <c r="DA540" s="113"/>
      <c r="DB540" s="114"/>
      <c r="DC540" s="64"/>
      <c r="DD540" s="118"/>
    </row>
    <row r="541" spans="1:108" ht="24" outlineLevel="2">
      <c r="A541" s="178">
        <v>40488</v>
      </c>
      <c r="B541" s="164" t="s">
        <v>1378</v>
      </c>
      <c r="C541" s="164" t="s">
        <v>464</v>
      </c>
      <c r="D541" s="166" t="s">
        <v>1262</v>
      </c>
      <c r="E541" s="163"/>
      <c r="F541" s="105"/>
      <c r="G541" s="105"/>
      <c r="H541" s="105">
        <f>500*5</f>
        <v>2500</v>
      </c>
      <c r="I541" s="105">
        <v>500</v>
      </c>
      <c r="J541" s="105"/>
      <c r="K541" s="105">
        <v>500</v>
      </c>
      <c r="L541" s="105"/>
      <c r="M541" s="105"/>
      <c r="N541" s="105"/>
      <c r="O541" s="105"/>
      <c r="P541" s="105"/>
      <c r="Q541" s="105"/>
      <c r="R541" s="105"/>
      <c r="S541" s="105"/>
      <c r="T541" s="106"/>
      <c r="U541" s="130"/>
      <c r="V541" s="1"/>
      <c r="W541" s="68">
        <f t="shared" ref="W541:W560" si="141">CT541</f>
        <v>0</v>
      </c>
      <c r="X541" s="68">
        <f t="shared" ref="X541:X560" si="142">CX541</f>
        <v>0</v>
      </c>
      <c r="Y541" s="68">
        <f t="shared" ref="Y541:Y560" si="143">CZ541+DB541</f>
        <v>0</v>
      </c>
      <c r="Z541" s="68">
        <f t="shared" ref="Z541:Z560" si="144">CV541</f>
        <v>0</v>
      </c>
      <c r="AA541" s="68"/>
      <c r="AB541" s="68">
        <v>0</v>
      </c>
      <c r="AC541" s="69">
        <f t="shared" ref="AC541:AC560" si="145">W541+X541+Y541+Z541+AA541+AB541</f>
        <v>0</v>
      </c>
      <c r="AD541" s="70">
        <v>0</v>
      </c>
      <c r="AE541" s="63">
        <v>40490</v>
      </c>
      <c r="AF541" s="72"/>
      <c r="AG541" s="63" t="s">
        <v>938</v>
      </c>
      <c r="AH541" s="23" t="s">
        <v>939</v>
      </c>
      <c r="AI541" s="60"/>
      <c r="AJ541" s="124" t="s">
        <v>1608</v>
      </c>
      <c r="AK541" s="121" t="s">
        <v>465</v>
      </c>
      <c r="AL541" s="107"/>
      <c r="AM541" s="108"/>
      <c r="AN541" s="109"/>
      <c r="AO541" s="108"/>
      <c r="AP541" s="108"/>
      <c r="AQ541" s="108"/>
      <c r="AR541" s="108"/>
      <c r="AS541" s="108"/>
      <c r="AT541" s="108"/>
      <c r="AU541" s="108"/>
      <c r="AV541" s="108"/>
      <c r="AW541" s="108"/>
      <c r="AX541" s="108"/>
      <c r="AY541" s="108"/>
      <c r="AZ541" s="108"/>
      <c r="BA541" s="108"/>
      <c r="BB541" s="108"/>
      <c r="BC541" s="108"/>
      <c r="BD541" s="108"/>
      <c r="BE541" s="108"/>
      <c r="BF541" s="108"/>
      <c r="BG541" s="108"/>
      <c r="BH541" s="108"/>
      <c r="BI541" s="108"/>
      <c r="BJ541" s="108"/>
      <c r="BK541" s="108"/>
      <c r="BL541" s="108"/>
      <c r="BM541" s="108"/>
      <c r="BN541" s="108"/>
      <c r="BO541" s="108"/>
      <c r="BP541" s="108"/>
      <c r="BQ541" s="108"/>
      <c r="BR541" s="108"/>
      <c r="BS541" s="108"/>
      <c r="BT541" s="108"/>
      <c r="BU541" s="108"/>
      <c r="BV541" s="108"/>
      <c r="BW541" s="108"/>
      <c r="BX541" s="108"/>
      <c r="BY541" s="108"/>
      <c r="BZ541" s="108"/>
      <c r="CA541" s="108"/>
      <c r="CB541" s="108"/>
      <c r="CC541" s="108"/>
      <c r="CD541" s="108"/>
      <c r="CE541" s="108"/>
      <c r="CF541" s="108"/>
      <c r="CG541" s="108"/>
      <c r="CH541" s="108"/>
      <c r="CI541" s="108"/>
      <c r="CJ541" s="108"/>
      <c r="CK541" s="108"/>
      <c r="CL541" s="108"/>
      <c r="CM541" s="108"/>
      <c r="CN541" s="110"/>
      <c r="CO541" s="111"/>
      <c r="CP541" s="110"/>
      <c r="CQ541" s="111"/>
      <c r="CR541" s="110"/>
      <c r="CS541" s="111"/>
      <c r="CT541" s="112">
        <f t="shared" ref="CT541:CT560" si="146">AM541+AO541+AQ541+AS541+AU541+AW541+AY541+BA541+BC541+BE541+BG541+BI541+BK541+BM541+BO541+BQ541+BS541+BU541+BW541+BY541+CA541+CC541+CE541+CG541+CI541+CK541+CM541+CO541+CQ541+CS541</f>
        <v>0</v>
      </c>
      <c r="CU541" s="113"/>
      <c r="CV541" s="114"/>
      <c r="CW541" s="115"/>
      <c r="CX541" s="116"/>
      <c r="CY541" s="117"/>
      <c r="CZ541" s="116"/>
      <c r="DA541" s="113"/>
      <c r="DB541" s="114"/>
      <c r="DC541" s="64"/>
      <c r="DD541" s="118"/>
    </row>
    <row r="542" spans="1:108" ht="48" outlineLevel="2">
      <c r="A542" s="178">
        <v>40492</v>
      </c>
      <c r="B542" s="164" t="s">
        <v>1378</v>
      </c>
      <c r="C542" s="164" t="s">
        <v>1821</v>
      </c>
      <c r="D542" s="166" t="s">
        <v>1182</v>
      </c>
      <c r="E542" s="163"/>
      <c r="F542" s="105"/>
      <c r="G542" s="105"/>
      <c r="H542" s="105">
        <v>554</v>
      </c>
      <c r="I542" s="105">
        <v>150</v>
      </c>
      <c r="J542" s="105"/>
      <c r="K542" s="105">
        <v>115</v>
      </c>
      <c r="L542" s="105"/>
      <c r="M542" s="105"/>
      <c r="N542" s="105"/>
      <c r="O542" s="105"/>
      <c r="P542" s="105"/>
      <c r="Q542" s="105"/>
      <c r="R542" s="105"/>
      <c r="S542" s="105"/>
      <c r="T542" s="106"/>
      <c r="U542" s="130"/>
      <c r="V542" s="1"/>
      <c r="W542" s="68">
        <f t="shared" si="141"/>
        <v>0</v>
      </c>
      <c r="X542" s="68">
        <f t="shared" si="142"/>
        <v>0</v>
      </c>
      <c r="Y542" s="68">
        <f t="shared" si="143"/>
        <v>0</v>
      </c>
      <c r="Z542" s="68">
        <f t="shared" si="144"/>
        <v>0</v>
      </c>
      <c r="AA542" s="68"/>
      <c r="AB542" s="68">
        <v>0</v>
      </c>
      <c r="AC542" s="69">
        <f t="shared" si="145"/>
        <v>0</v>
      </c>
      <c r="AD542" s="70">
        <v>0</v>
      </c>
      <c r="AE542" s="63"/>
      <c r="AF542" s="72"/>
      <c r="AG542" s="63"/>
      <c r="AH542" s="23"/>
      <c r="AI542" s="60"/>
      <c r="AJ542" s="124"/>
      <c r="AK542" s="121" t="s">
        <v>128</v>
      </c>
      <c r="AL542" s="107"/>
      <c r="AM542" s="108"/>
      <c r="AN542" s="109"/>
      <c r="AO542" s="108"/>
      <c r="AP542" s="108"/>
      <c r="AQ542" s="108"/>
      <c r="AR542" s="108"/>
      <c r="AS542" s="108"/>
      <c r="AT542" s="108"/>
      <c r="AU542" s="108"/>
      <c r="AV542" s="108"/>
      <c r="AW542" s="108"/>
      <c r="AX542" s="108"/>
      <c r="AY542" s="108"/>
      <c r="AZ542" s="108"/>
      <c r="BA542" s="108"/>
      <c r="BB542" s="108"/>
      <c r="BC542" s="108"/>
      <c r="BD542" s="108"/>
      <c r="BE542" s="108"/>
      <c r="BF542" s="108"/>
      <c r="BG542" s="108"/>
      <c r="BH542" s="108"/>
      <c r="BI542" s="108"/>
      <c r="BJ542" s="108"/>
      <c r="BK542" s="108"/>
      <c r="BL542" s="108"/>
      <c r="BM542" s="108"/>
      <c r="BN542" s="108"/>
      <c r="BO542" s="108"/>
      <c r="BP542" s="108"/>
      <c r="BQ542" s="108"/>
      <c r="BR542" s="108"/>
      <c r="BS542" s="108"/>
      <c r="BT542" s="108"/>
      <c r="BU542" s="108"/>
      <c r="BV542" s="108"/>
      <c r="BW542" s="108"/>
      <c r="BX542" s="108"/>
      <c r="BY542" s="108"/>
      <c r="BZ542" s="108"/>
      <c r="CA542" s="108"/>
      <c r="CB542" s="108"/>
      <c r="CC542" s="108"/>
      <c r="CD542" s="108"/>
      <c r="CE542" s="108"/>
      <c r="CF542" s="108"/>
      <c r="CG542" s="108"/>
      <c r="CH542" s="108"/>
      <c r="CI542" s="108"/>
      <c r="CJ542" s="108"/>
      <c r="CK542" s="108"/>
      <c r="CL542" s="108"/>
      <c r="CM542" s="108"/>
      <c r="CN542" s="110"/>
      <c r="CO542" s="111"/>
      <c r="CP542" s="110"/>
      <c r="CQ542" s="111"/>
      <c r="CR542" s="110"/>
      <c r="CS542" s="111"/>
      <c r="CT542" s="112">
        <f t="shared" si="146"/>
        <v>0</v>
      </c>
      <c r="CU542" s="113"/>
      <c r="CV542" s="114"/>
      <c r="CW542" s="115"/>
      <c r="CX542" s="116"/>
      <c r="CY542" s="117"/>
      <c r="CZ542" s="116"/>
      <c r="DA542" s="113"/>
      <c r="DB542" s="114"/>
      <c r="DC542" s="64"/>
      <c r="DD542" s="118"/>
    </row>
    <row r="543" spans="1:108" ht="36" outlineLevel="2">
      <c r="A543" s="178">
        <v>40492</v>
      </c>
      <c r="B543" s="164" t="s">
        <v>1378</v>
      </c>
      <c r="C543" s="164" t="s">
        <v>242</v>
      </c>
      <c r="D543" s="166" t="s">
        <v>1262</v>
      </c>
      <c r="E543" s="163"/>
      <c r="F543" s="105"/>
      <c r="G543" s="105"/>
      <c r="H543" s="105">
        <v>5</v>
      </c>
      <c r="I543" s="105">
        <v>1</v>
      </c>
      <c r="J543" s="105">
        <v>1</v>
      </c>
      <c r="K543" s="105"/>
      <c r="L543" s="105"/>
      <c r="M543" s="105"/>
      <c r="N543" s="105"/>
      <c r="O543" s="105"/>
      <c r="P543" s="105"/>
      <c r="Q543" s="105"/>
      <c r="R543" s="105"/>
      <c r="S543" s="105"/>
      <c r="T543" s="106"/>
      <c r="U543" s="130" t="s">
        <v>607</v>
      </c>
      <c r="V543" s="1"/>
      <c r="W543" s="68">
        <f t="shared" si="141"/>
        <v>0</v>
      </c>
      <c r="X543" s="68">
        <f t="shared" si="142"/>
        <v>0</v>
      </c>
      <c r="Y543" s="68">
        <f t="shared" si="143"/>
        <v>0</v>
      </c>
      <c r="Z543" s="68">
        <f t="shared" si="144"/>
        <v>0</v>
      </c>
      <c r="AA543" s="68"/>
      <c r="AB543" s="68">
        <v>0</v>
      </c>
      <c r="AC543" s="69">
        <f t="shared" si="145"/>
        <v>0</v>
      </c>
      <c r="AD543" s="70">
        <v>0</v>
      </c>
      <c r="AE543" s="63">
        <v>40494</v>
      </c>
      <c r="AF543" s="72"/>
      <c r="AG543" s="63" t="s">
        <v>938</v>
      </c>
      <c r="AH543" s="23" t="s">
        <v>939</v>
      </c>
      <c r="AI543" s="60"/>
      <c r="AJ543" s="124" t="s">
        <v>1608</v>
      </c>
      <c r="AK543" s="121" t="s">
        <v>606</v>
      </c>
      <c r="AL543" s="107"/>
      <c r="AM543" s="108"/>
      <c r="AN543" s="109"/>
      <c r="AO543" s="108"/>
      <c r="AP543" s="108"/>
      <c r="AQ543" s="108"/>
      <c r="AR543" s="108"/>
      <c r="AS543" s="108"/>
      <c r="AT543" s="108"/>
      <c r="AU543" s="108"/>
      <c r="AV543" s="108"/>
      <c r="AW543" s="108"/>
      <c r="AX543" s="108"/>
      <c r="AY543" s="108"/>
      <c r="AZ543" s="108"/>
      <c r="BA543" s="108"/>
      <c r="BB543" s="108"/>
      <c r="BC543" s="108"/>
      <c r="BD543" s="108"/>
      <c r="BE543" s="108"/>
      <c r="BF543" s="108"/>
      <c r="BG543" s="108"/>
      <c r="BH543" s="108"/>
      <c r="BI543" s="108"/>
      <c r="BJ543" s="108"/>
      <c r="BK543" s="108"/>
      <c r="BL543" s="108"/>
      <c r="BM543" s="108"/>
      <c r="BN543" s="108"/>
      <c r="BO543" s="108"/>
      <c r="BP543" s="108"/>
      <c r="BQ543" s="108"/>
      <c r="BR543" s="108"/>
      <c r="BS543" s="108"/>
      <c r="BT543" s="108"/>
      <c r="BU543" s="108"/>
      <c r="BV543" s="108"/>
      <c r="BW543" s="108"/>
      <c r="BX543" s="108"/>
      <c r="BY543" s="108"/>
      <c r="BZ543" s="108"/>
      <c r="CA543" s="108"/>
      <c r="CB543" s="108"/>
      <c r="CC543" s="108"/>
      <c r="CD543" s="108"/>
      <c r="CE543" s="108"/>
      <c r="CF543" s="108"/>
      <c r="CG543" s="108"/>
      <c r="CH543" s="108"/>
      <c r="CI543" s="108"/>
      <c r="CJ543" s="108"/>
      <c r="CK543" s="108"/>
      <c r="CL543" s="108"/>
      <c r="CM543" s="108"/>
      <c r="CN543" s="110"/>
      <c r="CO543" s="111"/>
      <c r="CP543" s="110"/>
      <c r="CQ543" s="111"/>
      <c r="CR543" s="110"/>
      <c r="CS543" s="111"/>
      <c r="CT543" s="112">
        <f t="shared" si="146"/>
        <v>0</v>
      </c>
      <c r="CU543" s="113"/>
      <c r="CV543" s="114"/>
      <c r="CW543" s="115"/>
      <c r="CX543" s="116"/>
      <c r="CY543" s="117"/>
      <c r="CZ543" s="116"/>
      <c r="DA543" s="113"/>
      <c r="DB543" s="114"/>
      <c r="DC543" s="64"/>
      <c r="DD543" s="118"/>
    </row>
    <row r="544" spans="1:108" ht="60" outlineLevel="2">
      <c r="A544" s="178">
        <v>40494</v>
      </c>
      <c r="B544" s="164" t="s">
        <v>1378</v>
      </c>
      <c r="C544" s="164" t="s">
        <v>119</v>
      </c>
      <c r="D544" s="166" t="s">
        <v>435</v>
      </c>
      <c r="E544" s="163"/>
      <c r="F544" s="105"/>
      <c r="G544" s="105"/>
      <c r="H544" s="105">
        <v>1045</v>
      </c>
      <c r="I544" s="105">
        <v>209</v>
      </c>
      <c r="J544" s="105"/>
      <c r="K544" s="105">
        <v>209</v>
      </c>
      <c r="L544" s="105">
        <v>3</v>
      </c>
      <c r="M544" s="105"/>
      <c r="N544" s="105"/>
      <c r="O544" s="105"/>
      <c r="P544" s="105"/>
      <c r="Q544" s="105"/>
      <c r="R544" s="105">
        <v>1</v>
      </c>
      <c r="S544" s="105">
        <v>1</v>
      </c>
      <c r="T544" s="106"/>
      <c r="U544" s="130"/>
      <c r="V544" s="1"/>
      <c r="W544" s="68">
        <f t="shared" si="141"/>
        <v>0</v>
      </c>
      <c r="X544" s="68">
        <f t="shared" si="142"/>
        <v>0</v>
      </c>
      <c r="Y544" s="68">
        <f t="shared" si="143"/>
        <v>0</v>
      </c>
      <c r="Z544" s="68">
        <f t="shared" si="144"/>
        <v>0</v>
      </c>
      <c r="AA544" s="68"/>
      <c r="AB544" s="68">
        <v>0</v>
      </c>
      <c r="AC544" s="69">
        <f t="shared" si="145"/>
        <v>0</v>
      </c>
      <c r="AD544" s="70">
        <v>0</v>
      </c>
      <c r="AE544" s="63"/>
      <c r="AF544" s="72"/>
      <c r="AG544" s="63"/>
      <c r="AH544" s="23"/>
      <c r="AI544" s="60"/>
      <c r="AJ544" s="124"/>
      <c r="AK544" s="121" t="s">
        <v>120</v>
      </c>
      <c r="AL544" s="107"/>
      <c r="AM544" s="108"/>
      <c r="AN544" s="109"/>
      <c r="AO544" s="108"/>
      <c r="AP544" s="108"/>
      <c r="AQ544" s="108"/>
      <c r="AR544" s="108"/>
      <c r="AS544" s="108"/>
      <c r="AT544" s="108"/>
      <c r="AU544" s="108"/>
      <c r="AV544" s="108"/>
      <c r="AW544" s="108"/>
      <c r="AX544" s="108"/>
      <c r="AY544" s="108"/>
      <c r="AZ544" s="108"/>
      <c r="BA544" s="108"/>
      <c r="BB544" s="108"/>
      <c r="BC544" s="108"/>
      <c r="BD544" s="108"/>
      <c r="BE544" s="108"/>
      <c r="BF544" s="108"/>
      <c r="BG544" s="108"/>
      <c r="BH544" s="108"/>
      <c r="BI544" s="108"/>
      <c r="BJ544" s="108"/>
      <c r="BK544" s="108"/>
      <c r="BL544" s="108"/>
      <c r="BM544" s="108"/>
      <c r="BN544" s="108"/>
      <c r="BO544" s="108"/>
      <c r="BP544" s="108"/>
      <c r="BQ544" s="108"/>
      <c r="BR544" s="108"/>
      <c r="BS544" s="108"/>
      <c r="BT544" s="108"/>
      <c r="BU544" s="108"/>
      <c r="BV544" s="108"/>
      <c r="BW544" s="108"/>
      <c r="BX544" s="108"/>
      <c r="BY544" s="108"/>
      <c r="BZ544" s="108"/>
      <c r="CA544" s="108"/>
      <c r="CB544" s="108"/>
      <c r="CC544" s="108"/>
      <c r="CD544" s="108"/>
      <c r="CE544" s="108"/>
      <c r="CF544" s="108"/>
      <c r="CG544" s="108"/>
      <c r="CH544" s="108"/>
      <c r="CI544" s="108"/>
      <c r="CJ544" s="108"/>
      <c r="CK544" s="108"/>
      <c r="CL544" s="108"/>
      <c r="CM544" s="108"/>
      <c r="CN544" s="110"/>
      <c r="CO544" s="111"/>
      <c r="CP544" s="110"/>
      <c r="CQ544" s="111"/>
      <c r="CR544" s="110"/>
      <c r="CS544" s="111"/>
      <c r="CT544" s="112">
        <f t="shared" si="146"/>
        <v>0</v>
      </c>
      <c r="CU544" s="113"/>
      <c r="CV544" s="114"/>
      <c r="CW544" s="115"/>
      <c r="CX544" s="116"/>
      <c r="CY544" s="117"/>
      <c r="CZ544" s="116"/>
      <c r="DA544" s="113"/>
      <c r="DB544" s="114"/>
      <c r="DC544" s="64"/>
      <c r="DD544" s="118"/>
    </row>
    <row r="545" spans="1:108" ht="24" outlineLevel="2">
      <c r="A545" s="178">
        <v>40496</v>
      </c>
      <c r="B545" s="164" t="s">
        <v>1378</v>
      </c>
      <c r="C545" s="164" t="s">
        <v>1609</v>
      </c>
      <c r="D545" s="165" t="s">
        <v>1182</v>
      </c>
      <c r="E545" s="163"/>
      <c r="F545" s="105"/>
      <c r="G545" s="105"/>
      <c r="H545" s="105">
        <f>1753*5</f>
        <v>8765</v>
      </c>
      <c r="I545" s="105">
        <v>1753</v>
      </c>
      <c r="J545" s="105"/>
      <c r="K545" s="105">
        <v>1753</v>
      </c>
      <c r="L545" s="105">
        <v>1</v>
      </c>
      <c r="M545" s="105"/>
      <c r="N545" s="105"/>
      <c r="O545" s="105"/>
      <c r="P545" s="105"/>
      <c r="Q545" s="105"/>
      <c r="R545" s="105"/>
      <c r="S545" s="105"/>
      <c r="T545" s="106"/>
      <c r="U545" s="130"/>
      <c r="V545" s="1"/>
      <c r="W545" s="68">
        <f t="shared" si="141"/>
        <v>0</v>
      </c>
      <c r="X545" s="68">
        <f t="shared" si="142"/>
        <v>0</v>
      </c>
      <c r="Y545" s="68">
        <f t="shared" si="143"/>
        <v>0</v>
      </c>
      <c r="Z545" s="68">
        <f t="shared" si="144"/>
        <v>0</v>
      </c>
      <c r="AA545" s="68"/>
      <c r="AB545" s="68">
        <v>0</v>
      </c>
      <c r="AC545" s="69">
        <f t="shared" si="145"/>
        <v>0</v>
      </c>
      <c r="AD545" s="70">
        <v>0</v>
      </c>
      <c r="AE545" s="63">
        <v>40497</v>
      </c>
      <c r="AF545" s="72"/>
      <c r="AG545" s="63" t="s">
        <v>938</v>
      </c>
      <c r="AH545" s="23" t="s">
        <v>939</v>
      </c>
      <c r="AI545" s="60"/>
      <c r="AJ545" s="124" t="s">
        <v>1608</v>
      </c>
      <c r="AK545" s="121" t="s">
        <v>39</v>
      </c>
      <c r="AL545" s="107"/>
      <c r="AM545" s="108"/>
      <c r="AN545" s="109"/>
      <c r="AO545" s="108"/>
      <c r="AP545" s="108"/>
      <c r="AQ545" s="108"/>
      <c r="AR545" s="108"/>
      <c r="AS545" s="108"/>
      <c r="AT545" s="108"/>
      <c r="AU545" s="108"/>
      <c r="AV545" s="108"/>
      <c r="AW545" s="108"/>
      <c r="AX545" s="108"/>
      <c r="AY545" s="108"/>
      <c r="AZ545" s="108"/>
      <c r="BA545" s="108"/>
      <c r="BB545" s="108"/>
      <c r="BC545" s="108"/>
      <c r="BD545" s="108"/>
      <c r="BE545" s="108"/>
      <c r="BF545" s="108"/>
      <c r="BG545" s="108"/>
      <c r="BH545" s="108"/>
      <c r="BI545" s="108"/>
      <c r="BJ545" s="108"/>
      <c r="BK545" s="108"/>
      <c r="BL545" s="108"/>
      <c r="BM545" s="108"/>
      <c r="BN545" s="108"/>
      <c r="BO545" s="108"/>
      <c r="BP545" s="108"/>
      <c r="BQ545" s="108"/>
      <c r="BR545" s="108"/>
      <c r="BS545" s="108"/>
      <c r="BT545" s="108"/>
      <c r="BU545" s="108"/>
      <c r="BV545" s="108"/>
      <c r="BW545" s="108"/>
      <c r="BX545" s="108"/>
      <c r="BY545" s="108"/>
      <c r="BZ545" s="108"/>
      <c r="CA545" s="108"/>
      <c r="CB545" s="108"/>
      <c r="CC545" s="108"/>
      <c r="CD545" s="108"/>
      <c r="CE545" s="108"/>
      <c r="CF545" s="108"/>
      <c r="CG545" s="108"/>
      <c r="CH545" s="108"/>
      <c r="CI545" s="108"/>
      <c r="CJ545" s="108"/>
      <c r="CK545" s="108"/>
      <c r="CL545" s="108"/>
      <c r="CM545" s="108"/>
      <c r="CN545" s="110"/>
      <c r="CO545" s="111"/>
      <c r="CP545" s="110"/>
      <c r="CQ545" s="111"/>
      <c r="CR545" s="110"/>
      <c r="CS545" s="111"/>
      <c r="CT545" s="112">
        <f t="shared" si="146"/>
        <v>0</v>
      </c>
      <c r="CU545" s="113"/>
      <c r="CV545" s="114"/>
      <c r="CW545" s="115"/>
      <c r="CX545" s="116"/>
      <c r="CY545" s="117"/>
      <c r="CZ545" s="116"/>
      <c r="DA545" s="113"/>
      <c r="DB545" s="114"/>
      <c r="DC545" s="64"/>
      <c r="DD545" s="118"/>
    </row>
    <row r="546" spans="1:108" ht="22.5" outlineLevel="2">
      <c r="A546" s="178">
        <v>40496</v>
      </c>
      <c r="B546" s="164" t="s">
        <v>1378</v>
      </c>
      <c r="C546" s="164" t="s">
        <v>1792</v>
      </c>
      <c r="D546" s="166" t="s">
        <v>1262</v>
      </c>
      <c r="E546" s="163"/>
      <c r="F546" s="105"/>
      <c r="G546" s="105"/>
      <c r="H546" s="105">
        <v>200</v>
      </c>
      <c r="I546" s="105">
        <v>40</v>
      </c>
      <c r="J546" s="105"/>
      <c r="K546" s="105">
        <v>40</v>
      </c>
      <c r="L546" s="105"/>
      <c r="M546" s="105"/>
      <c r="N546" s="105"/>
      <c r="O546" s="105"/>
      <c r="P546" s="105"/>
      <c r="Q546" s="105"/>
      <c r="R546" s="105"/>
      <c r="S546" s="105"/>
      <c r="T546" s="106"/>
      <c r="U546" s="130"/>
      <c r="V546" s="1"/>
      <c r="W546" s="68">
        <f t="shared" si="141"/>
        <v>0</v>
      </c>
      <c r="X546" s="68">
        <f t="shared" si="142"/>
        <v>0</v>
      </c>
      <c r="Y546" s="68">
        <f t="shared" si="143"/>
        <v>0</v>
      </c>
      <c r="Z546" s="68">
        <f t="shared" si="144"/>
        <v>0</v>
      </c>
      <c r="AA546" s="68"/>
      <c r="AB546" s="68">
        <v>0</v>
      </c>
      <c r="AC546" s="69">
        <f t="shared" si="145"/>
        <v>0</v>
      </c>
      <c r="AD546" s="70">
        <v>0</v>
      </c>
      <c r="AE546" s="63">
        <v>40497</v>
      </c>
      <c r="AF546" s="72"/>
      <c r="AG546" s="63" t="s">
        <v>938</v>
      </c>
      <c r="AH546" s="23" t="s">
        <v>939</v>
      </c>
      <c r="AI546" s="60"/>
      <c r="AJ546" s="124" t="s">
        <v>1608</v>
      </c>
      <c r="AK546" s="121" t="s">
        <v>1612</v>
      </c>
      <c r="AL546" s="107"/>
      <c r="AM546" s="108"/>
      <c r="AN546" s="109"/>
      <c r="AO546" s="108"/>
      <c r="AP546" s="108"/>
      <c r="AQ546" s="108"/>
      <c r="AR546" s="108"/>
      <c r="AS546" s="108"/>
      <c r="AT546" s="108"/>
      <c r="AU546" s="108"/>
      <c r="AV546" s="108"/>
      <c r="AW546" s="108"/>
      <c r="AX546" s="108"/>
      <c r="AY546" s="108"/>
      <c r="AZ546" s="108"/>
      <c r="BA546" s="108"/>
      <c r="BB546" s="108"/>
      <c r="BC546" s="108"/>
      <c r="BD546" s="108"/>
      <c r="BE546" s="108"/>
      <c r="BF546" s="108"/>
      <c r="BG546" s="108"/>
      <c r="BH546" s="108"/>
      <c r="BI546" s="108"/>
      <c r="BJ546" s="108"/>
      <c r="BK546" s="108"/>
      <c r="BL546" s="108"/>
      <c r="BM546" s="108"/>
      <c r="BN546" s="108"/>
      <c r="BO546" s="108"/>
      <c r="BP546" s="108"/>
      <c r="BQ546" s="108"/>
      <c r="BR546" s="108"/>
      <c r="BS546" s="108"/>
      <c r="BT546" s="108"/>
      <c r="BU546" s="108"/>
      <c r="BV546" s="108"/>
      <c r="BW546" s="108"/>
      <c r="BX546" s="108"/>
      <c r="BY546" s="108"/>
      <c r="BZ546" s="108"/>
      <c r="CA546" s="108"/>
      <c r="CB546" s="108"/>
      <c r="CC546" s="108"/>
      <c r="CD546" s="108"/>
      <c r="CE546" s="108"/>
      <c r="CF546" s="108"/>
      <c r="CG546" s="108"/>
      <c r="CH546" s="108"/>
      <c r="CI546" s="108"/>
      <c r="CJ546" s="108"/>
      <c r="CK546" s="108"/>
      <c r="CL546" s="108"/>
      <c r="CM546" s="108"/>
      <c r="CN546" s="110"/>
      <c r="CO546" s="111"/>
      <c r="CP546" s="110"/>
      <c r="CQ546" s="111"/>
      <c r="CR546" s="110"/>
      <c r="CS546" s="111"/>
      <c r="CT546" s="112">
        <f t="shared" si="146"/>
        <v>0</v>
      </c>
      <c r="CU546" s="113"/>
      <c r="CV546" s="114"/>
      <c r="CW546" s="115"/>
      <c r="CX546" s="116"/>
      <c r="CY546" s="117"/>
      <c r="CZ546" s="116"/>
      <c r="DA546" s="113"/>
      <c r="DB546" s="114"/>
      <c r="DC546" s="64"/>
      <c r="DD546" s="118"/>
    </row>
    <row r="547" spans="1:108" ht="24" outlineLevel="2">
      <c r="A547" s="178">
        <v>40496</v>
      </c>
      <c r="B547" s="164" t="s">
        <v>1378</v>
      </c>
      <c r="C547" s="164" t="s">
        <v>1610</v>
      </c>
      <c r="D547" s="165" t="s">
        <v>1182</v>
      </c>
      <c r="E547" s="163">
        <v>2</v>
      </c>
      <c r="F547" s="105">
        <v>4</v>
      </c>
      <c r="G547" s="105"/>
      <c r="H547" s="105">
        <v>10</v>
      </c>
      <c r="I547" s="105">
        <v>2</v>
      </c>
      <c r="J547" s="105">
        <v>2</v>
      </c>
      <c r="K547" s="105"/>
      <c r="L547" s="105"/>
      <c r="M547" s="105"/>
      <c r="N547" s="105"/>
      <c r="O547" s="105"/>
      <c r="P547" s="105"/>
      <c r="Q547" s="105"/>
      <c r="R547" s="105"/>
      <c r="S547" s="105"/>
      <c r="T547" s="106"/>
      <c r="U547" s="130"/>
      <c r="V547" s="1"/>
      <c r="W547" s="68">
        <f t="shared" si="141"/>
        <v>0</v>
      </c>
      <c r="X547" s="68">
        <f t="shared" si="142"/>
        <v>0</v>
      </c>
      <c r="Y547" s="68">
        <f t="shared" si="143"/>
        <v>0</v>
      </c>
      <c r="Z547" s="68">
        <f t="shared" si="144"/>
        <v>0</v>
      </c>
      <c r="AA547" s="68"/>
      <c r="AB547" s="68">
        <v>0</v>
      </c>
      <c r="AC547" s="69">
        <f t="shared" si="145"/>
        <v>0</v>
      </c>
      <c r="AD547" s="70">
        <v>0</v>
      </c>
      <c r="AE547" s="63">
        <v>40497</v>
      </c>
      <c r="AF547" s="72"/>
      <c r="AG547" s="63" t="s">
        <v>938</v>
      </c>
      <c r="AH547" s="23" t="s">
        <v>939</v>
      </c>
      <c r="AI547" s="60"/>
      <c r="AJ547" s="124" t="s">
        <v>1608</v>
      </c>
      <c r="AK547" s="121" t="s">
        <v>38</v>
      </c>
      <c r="AL547" s="107"/>
      <c r="AM547" s="108"/>
      <c r="AN547" s="109"/>
      <c r="AO547" s="108"/>
      <c r="AP547" s="108"/>
      <c r="AQ547" s="108"/>
      <c r="AR547" s="108"/>
      <c r="AS547" s="108"/>
      <c r="AT547" s="108"/>
      <c r="AU547" s="108"/>
      <c r="AV547" s="108"/>
      <c r="AW547" s="108"/>
      <c r="AX547" s="108"/>
      <c r="AY547" s="108"/>
      <c r="AZ547" s="108"/>
      <c r="BA547" s="108"/>
      <c r="BB547" s="108"/>
      <c r="BC547" s="108"/>
      <c r="BD547" s="108"/>
      <c r="BE547" s="108"/>
      <c r="BF547" s="108"/>
      <c r="BG547" s="108"/>
      <c r="BH547" s="108"/>
      <c r="BI547" s="108"/>
      <c r="BJ547" s="108"/>
      <c r="BK547" s="108"/>
      <c r="BL547" s="108"/>
      <c r="BM547" s="108"/>
      <c r="BN547" s="108"/>
      <c r="BO547" s="108"/>
      <c r="BP547" s="108"/>
      <c r="BQ547" s="108"/>
      <c r="BR547" s="108"/>
      <c r="BS547" s="108"/>
      <c r="BT547" s="108"/>
      <c r="BU547" s="108"/>
      <c r="BV547" s="108"/>
      <c r="BW547" s="108"/>
      <c r="BX547" s="108"/>
      <c r="BY547" s="108"/>
      <c r="BZ547" s="108"/>
      <c r="CA547" s="108"/>
      <c r="CB547" s="108"/>
      <c r="CC547" s="108"/>
      <c r="CD547" s="108"/>
      <c r="CE547" s="108"/>
      <c r="CF547" s="108"/>
      <c r="CG547" s="108"/>
      <c r="CH547" s="108"/>
      <c r="CI547" s="108"/>
      <c r="CJ547" s="108"/>
      <c r="CK547" s="108"/>
      <c r="CL547" s="108"/>
      <c r="CM547" s="108"/>
      <c r="CN547" s="110"/>
      <c r="CO547" s="111"/>
      <c r="CP547" s="110"/>
      <c r="CQ547" s="111"/>
      <c r="CR547" s="110"/>
      <c r="CS547" s="111"/>
      <c r="CT547" s="112">
        <f t="shared" si="146"/>
        <v>0</v>
      </c>
      <c r="CU547" s="113"/>
      <c r="CV547" s="114"/>
      <c r="CW547" s="115"/>
      <c r="CX547" s="116"/>
      <c r="CY547" s="117"/>
      <c r="CZ547" s="116"/>
      <c r="DA547" s="113"/>
      <c r="DB547" s="114"/>
      <c r="DC547" s="64"/>
      <c r="DD547" s="118"/>
    </row>
    <row r="548" spans="1:108" ht="24" outlineLevel="2">
      <c r="A548" s="178">
        <v>40497</v>
      </c>
      <c r="B548" s="164" t="s">
        <v>1378</v>
      </c>
      <c r="C548" s="164" t="s">
        <v>370</v>
      </c>
      <c r="D548" s="165" t="s">
        <v>1182</v>
      </c>
      <c r="E548" s="163"/>
      <c r="F548" s="105"/>
      <c r="G548" s="105"/>
      <c r="H548" s="105">
        <v>75</v>
      </c>
      <c r="I548" s="105">
        <v>15</v>
      </c>
      <c r="J548" s="105"/>
      <c r="K548" s="105">
        <v>15</v>
      </c>
      <c r="L548" s="105"/>
      <c r="M548" s="105"/>
      <c r="N548" s="105"/>
      <c r="O548" s="105"/>
      <c r="P548" s="105"/>
      <c r="Q548" s="105"/>
      <c r="R548" s="105"/>
      <c r="S548" s="105"/>
      <c r="T548" s="106"/>
      <c r="U548" s="130"/>
      <c r="V548" s="1"/>
      <c r="W548" s="68">
        <f t="shared" si="141"/>
        <v>0</v>
      </c>
      <c r="X548" s="68">
        <f t="shared" si="142"/>
        <v>0</v>
      </c>
      <c r="Y548" s="68">
        <f t="shared" si="143"/>
        <v>0</v>
      </c>
      <c r="Z548" s="68">
        <f t="shared" si="144"/>
        <v>0</v>
      </c>
      <c r="AA548" s="68"/>
      <c r="AB548" s="68">
        <v>0</v>
      </c>
      <c r="AC548" s="69">
        <f t="shared" si="145"/>
        <v>0</v>
      </c>
      <c r="AD548" s="70">
        <v>0</v>
      </c>
      <c r="AE548" s="63">
        <v>40498</v>
      </c>
      <c r="AF548" s="72"/>
      <c r="AG548" s="63" t="s">
        <v>938</v>
      </c>
      <c r="AH548" s="23" t="s">
        <v>939</v>
      </c>
      <c r="AI548" s="60"/>
      <c r="AJ548" s="124" t="s">
        <v>52</v>
      </c>
      <c r="AK548" s="121" t="s">
        <v>58</v>
      </c>
      <c r="AL548" s="107"/>
      <c r="AM548" s="108"/>
      <c r="AN548" s="109"/>
      <c r="AO548" s="108"/>
      <c r="AP548" s="108"/>
      <c r="AQ548" s="108"/>
      <c r="AR548" s="108"/>
      <c r="AS548" s="108"/>
      <c r="AT548" s="108"/>
      <c r="AU548" s="108"/>
      <c r="AV548" s="108"/>
      <c r="AW548" s="108"/>
      <c r="AX548" s="108"/>
      <c r="AY548" s="108"/>
      <c r="AZ548" s="108"/>
      <c r="BA548" s="108"/>
      <c r="BB548" s="108"/>
      <c r="BC548" s="108"/>
      <c r="BD548" s="108"/>
      <c r="BE548" s="108"/>
      <c r="BF548" s="108"/>
      <c r="BG548" s="108"/>
      <c r="BH548" s="108"/>
      <c r="BI548" s="108"/>
      <c r="BJ548" s="108"/>
      <c r="BK548" s="108"/>
      <c r="BL548" s="108"/>
      <c r="BM548" s="108"/>
      <c r="BN548" s="108"/>
      <c r="BO548" s="108"/>
      <c r="BP548" s="108"/>
      <c r="BQ548" s="108"/>
      <c r="BR548" s="108"/>
      <c r="BS548" s="108"/>
      <c r="BT548" s="108"/>
      <c r="BU548" s="108"/>
      <c r="BV548" s="108"/>
      <c r="BW548" s="108"/>
      <c r="BX548" s="108"/>
      <c r="BY548" s="108"/>
      <c r="BZ548" s="108"/>
      <c r="CA548" s="108"/>
      <c r="CB548" s="108"/>
      <c r="CC548" s="108"/>
      <c r="CD548" s="108"/>
      <c r="CE548" s="108"/>
      <c r="CF548" s="108"/>
      <c r="CG548" s="108"/>
      <c r="CH548" s="108"/>
      <c r="CI548" s="108"/>
      <c r="CJ548" s="108"/>
      <c r="CK548" s="108"/>
      <c r="CL548" s="108"/>
      <c r="CM548" s="108"/>
      <c r="CN548" s="110"/>
      <c r="CO548" s="111"/>
      <c r="CP548" s="110"/>
      <c r="CQ548" s="111"/>
      <c r="CR548" s="110"/>
      <c r="CS548" s="111"/>
      <c r="CT548" s="112">
        <f t="shared" si="146"/>
        <v>0</v>
      </c>
      <c r="CU548" s="113"/>
      <c r="CV548" s="114"/>
      <c r="CW548" s="115"/>
      <c r="CX548" s="116"/>
      <c r="CY548" s="117"/>
      <c r="CZ548" s="116"/>
      <c r="DA548" s="113"/>
      <c r="DB548" s="114"/>
      <c r="DC548" s="64"/>
      <c r="DD548" s="118"/>
    </row>
    <row r="549" spans="1:108" ht="60" outlineLevel="2">
      <c r="A549" s="178">
        <v>40498</v>
      </c>
      <c r="B549" s="164" t="s">
        <v>1378</v>
      </c>
      <c r="C549" s="164" t="s">
        <v>1870</v>
      </c>
      <c r="D549" s="166" t="s">
        <v>1182</v>
      </c>
      <c r="E549" s="163"/>
      <c r="F549" s="105"/>
      <c r="G549" s="105"/>
      <c r="H549" s="105">
        <f>796*5</f>
        <v>3980</v>
      </c>
      <c r="I549" s="105">
        <v>796</v>
      </c>
      <c r="J549" s="105"/>
      <c r="K549" s="105"/>
      <c r="L549" s="105"/>
      <c r="M549" s="105"/>
      <c r="N549" s="105"/>
      <c r="O549" s="105"/>
      <c r="P549" s="105"/>
      <c r="Q549" s="105"/>
      <c r="R549" s="105"/>
      <c r="S549" s="105"/>
      <c r="T549" s="106"/>
      <c r="U549" s="130"/>
      <c r="V549" s="1"/>
      <c r="W549" s="68">
        <f t="shared" si="141"/>
        <v>0</v>
      </c>
      <c r="X549" s="68">
        <f t="shared" si="142"/>
        <v>0</v>
      </c>
      <c r="Y549" s="68">
        <f t="shared" si="143"/>
        <v>0</v>
      </c>
      <c r="Z549" s="68">
        <f t="shared" si="144"/>
        <v>0</v>
      </c>
      <c r="AA549" s="68"/>
      <c r="AB549" s="68">
        <v>0</v>
      </c>
      <c r="AC549" s="69">
        <f t="shared" si="145"/>
        <v>0</v>
      </c>
      <c r="AD549" s="70">
        <v>0</v>
      </c>
      <c r="AE549" s="63"/>
      <c r="AF549" s="72"/>
      <c r="AG549" s="63"/>
      <c r="AH549" s="23"/>
      <c r="AI549" s="60"/>
      <c r="AJ549" s="124"/>
      <c r="AK549" s="121" t="s">
        <v>127</v>
      </c>
      <c r="AL549" s="107"/>
      <c r="AM549" s="108"/>
      <c r="AN549" s="109"/>
      <c r="AO549" s="108"/>
      <c r="AP549" s="108"/>
      <c r="AQ549" s="108"/>
      <c r="AR549" s="108"/>
      <c r="AS549" s="108"/>
      <c r="AT549" s="108"/>
      <c r="AU549" s="108"/>
      <c r="AV549" s="108"/>
      <c r="AW549" s="108"/>
      <c r="AX549" s="108"/>
      <c r="AY549" s="108"/>
      <c r="AZ549" s="108"/>
      <c r="BA549" s="108"/>
      <c r="BB549" s="108"/>
      <c r="BC549" s="108"/>
      <c r="BD549" s="108"/>
      <c r="BE549" s="108"/>
      <c r="BF549" s="108"/>
      <c r="BG549" s="108"/>
      <c r="BH549" s="108"/>
      <c r="BI549" s="108"/>
      <c r="BJ549" s="108"/>
      <c r="BK549" s="108"/>
      <c r="BL549" s="108"/>
      <c r="BM549" s="108"/>
      <c r="BN549" s="108"/>
      <c r="BO549" s="108"/>
      <c r="BP549" s="108"/>
      <c r="BQ549" s="108"/>
      <c r="BR549" s="108"/>
      <c r="BS549" s="108"/>
      <c r="BT549" s="108"/>
      <c r="BU549" s="108"/>
      <c r="BV549" s="108"/>
      <c r="BW549" s="108"/>
      <c r="BX549" s="108"/>
      <c r="BY549" s="108"/>
      <c r="BZ549" s="108"/>
      <c r="CA549" s="108"/>
      <c r="CB549" s="108"/>
      <c r="CC549" s="108"/>
      <c r="CD549" s="108"/>
      <c r="CE549" s="108"/>
      <c r="CF549" s="108"/>
      <c r="CG549" s="108"/>
      <c r="CH549" s="108"/>
      <c r="CI549" s="108"/>
      <c r="CJ549" s="108"/>
      <c r="CK549" s="108"/>
      <c r="CL549" s="108"/>
      <c r="CM549" s="108"/>
      <c r="CN549" s="110"/>
      <c r="CO549" s="111"/>
      <c r="CP549" s="110"/>
      <c r="CQ549" s="111"/>
      <c r="CR549" s="110"/>
      <c r="CS549" s="111"/>
      <c r="CT549" s="112">
        <f t="shared" si="146"/>
        <v>0</v>
      </c>
      <c r="CU549" s="113"/>
      <c r="CV549" s="114"/>
      <c r="CW549" s="115"/>
      <c r="CX549" s="116"/>
      <c r="CY549" s="117"/>
      <c r="CZ549" s="116"/>
      <c r="DA549" s="113"/>
      <c r="DB549" s="114"/>
      <c r="DC549" s="64"/>
      <c r="DD549" s="118"/>
    </row>
    <row r="550" spans="1:108" ht="36" outlineLevel="2">
      <c r="A550" s="178">
        <v>40499</v>
      </c>
      <c r="B550" s="164" t="s">
        <v>1378</v>
      </c>
      <c r="C550" s="164" t="s">
        <v>1792</v>
      </c>
      <c r="D550" s="166" t="s">
        <v>1262</v>
      </c>
      <c r="E550" s="163">
        <v>2</v>
      </c>
      <c r="F550" s="105"/>
      <c r="G550" s="105"/>
      <c r="H550" s="105">
        <v>5</v>
      </c>
      <c r="I550" s="105">
        <v>1</v>
      </c>
      <c r="J550" s="105">
        <v>1</v>
      </c>
      <c r="K550" s="105"/>
      <c r="L550" s="105"/>
      <c r="M550" s="105"/>
      <c r="N550" s="105"/>
      <c r="O550" s="105"/>
      <c r="P550" s="105"/>
      <c r="Q550" s="105"/>
      <c r="R550" s="105"/>
      <c r="S550" s="105"/>
      <c r="T550" s="106"/>
      <c r="U550" s="130"/>
      <c r="V550" s="1"/>
      <c r="W550" s="68">
        <f t="shared" si="141"/>
        <v>0</v>
      </c>
      <c r="X550" s="68">
        <f t="shared" si="142"/>
        <v>0</v>
      </c>
      <c r="Y550" s="68">
        <f t="shared" si="143"/>
        <v>0</v>
      </c>
      <c r="Z550" s="68">
        <f t="shared" si="144"/>
        <v>0</v>
      </c>
      <c r="AA550" s="68"/>
      <c r="AB550" s="68">
        <v>0</v>
      </c>
      <c r="AC550" s="69">
        <f t="shared" si="145"/>
        <v>0</v>
      </c>
      <c r="AD550" s="70">
        <v>199000000</v>
      </c>
      <c r="AE550" s="63">
        <v>40500</v>
      </c>
      <c r="AF550" s="72"/>
      <c r="AG550" s="63" t="s">
        <v>954</v>
      </c>
      <c r="AH550" s="23" t="s">
        <v>955</v>
      </c>
      <c r="AI550" s="60"/>
      <c r="AJ550" s="124" t="s">
        <v>1476</v>
      </c>
      <c r="AK550" s="121" t="s">
        <v>102</v>
      </c>
      <c r="AL550" s="107"/>
      <c r="AM550" s="108"/>
      <c r="AN550" s="109"/>
      <c r="AO550" s="108"/>
      <c r="AP550" s="108"/>
      <c r="AQ550" s="108"/>
      <c r="AR550" s="108"/>
      <c r="AS550" s="108"/>
      <c r="AT550" s="108"/>
      <c r="AU550" s="108"/>
      <c r="AV550" s="108"/>
      <c r="AW550" s="108"/>
      <c r="AX550" s="108"/>
      <c r="AY550" s="108"/>
      <c r="AZ550" s="108"/>
      <c r="BA550" s="108"/>
      <c r="BB550" s="108"/>
      <c r="BC550" s="108"/>
      <c r="BD550" s="108"/>
      <c r="BE550" s="108"/>
      <c r="BF550" s="108"/>
      <c r="BG550" s="108"/>
      <c r="BH550" s="108"/>
      <c r="BI550" s="108"/>
      <c r="BJ550" s="108"/>
      <c r="BK550" s="108"/>
      <c r="BL550" s="108"/>
      <c r="BM550" s="108"/>
      <c r="BN550" s="108"/>
      <c r="BO550" s="108"/>
      <c r="BP550" s="108"/>
      <c r="BQ550" s="108"/>
      <c r="BR550" s="108"/>
      <c r="BS550" s="108"/>
      <c r="BT550" s="108"/>
      <c r="BU550" s="108"/>
      <c r="BV550" s="108"/>
      <c r="BW550" s="108"/>
      <c r="BX550" s="108"/>
      <c r="BY550" s="108"/>
      <c r="BZ550" s="108"/>
      <c r="CA550" s="108"/>
      <c r="CB550" s="108"/>
      <c r="CC550" s="108"/>
      <c r="CD550" s="108"/>
      <c r="CE550" s="108"/>
      <c r="CF550" s="108"/>
      <c r="CG550" s="108"/>
      <c r="CH550" s="108"/>
      <c r="CI550" s="108"/>
      <c r="CJ550" s="108"/>
      <c r="CK550" s="108"/>
      <c r="CL550" s="108"/>
      <c r="CM550" s="108"/>
      <c r="CN550" s="110"/>
      <c r="CO550" s="111"/>
      <c r="CP550" s="110"/>
      <c r="CQ550" s="111"/>
      <c r="CR550" s="110"/>
      <c r="CS550" s="111"/>
      <c r="CT550" s="112">
        <f t="shared" si="146"/>
        <v>0</v>
      </c>
      <c r="CU550" s="113"/>
      <c r="CV550" s="114"/>
      <c r="CW550" s="115"/>
      <c r="CX550" s="116"/>
      <c r="CY550" s="117"/>
      <c r="CZ550" s="116"/>
      <c r="DA550" s="113"/>
      <c r="DB550" s="114"/>
      <c r="DC550" s="64"/>
      <c r="DD550" s="118"/>
    </row>
    <row r="551" spans="1:108" ht="84" outlineLevel="2">
      <c r="A551" s="178">
        <v>40506</v>
      </c>
      <c r="B551" s="164" t="s">
        <v>1378</v>
      </c>
      <c r="C551" s="164" t="s">
        <v>2101</v>
      </c>
      <c r="D551" s="166" t="s">
        <v>1262</v>
      </c>
      <c r="E551" s="163"/>
      <c r="F551" s="105"/>
      <c r="G551" s="105"/>
      <c r="H551" s="105">
        <f>183*5</f>
        <v>915</v>
      </c>
      <c r="I551" s="105">
        <v>183</v>
      </c>
      <c r="J551" s="105"/>
      <c r="K551" s="105">
        <v>183</v>
      </c>
      <c r="L551" s="105"/>
      <c r="M551" s="105"/>
      <c r="N551" s="105"/>
      <c r="O551" s="105"/>
      <c r="P551" s="105"/>
      <c r="Q551" s="105"/>
      <c r="R551" s="105"/>
      <c r="S551" s="105"/>
      <c r="T551" s="106"/>
      <c r="U551" s="130"/>
      <c r="V551" s="1"/>
      <c r="W551" s="68">
        <f t="shared" si="141"/>
        <v>0</v>
      </c>
      <c r="X551" s="68">
        <f t="shared" si="142"/>
        <v>0</v>
      </c>
      <c r="Y551" s="68">
        <f t="shared" si="143"/>
        <v>0</v>
      </c>
      <c r="Z551" s="68">
        <f t="shared" si="144"/>
        <v>0</v>
      </c>
      <c r="AA551" s="68"/>
      <c r="AB551" s="68">
        <v>0</v>
      </c>
      <c r="AC551" s="69">
        <f t="shared" si="145"/>
        <v>0</v>
      </c>
      <c r="AD551" s="70">
        <v>0</v>
      </c>
      <c r="AE551" s="63"/>
      <c r="AF551" s="72"/>
      <c r="AG551" s="63"/>
      <c r="AH551" s="23"/>
      <c r="AI551" s="60"/>
      <c r="AJ551" s="124"/>
      <c r="AK551" s="121" t="s">
        <v>126</v>
      </c>
      <c r="AL551" s="107"/>
      <c r="AM551" s="108"/>
      <c r="AN551" s="109"/>
      <c r="AO551" s="108"/>
      <c r="AP551" s="108"/>
      <c r="AQ551" s="108"/>
      <c r="AR551" s="108"/>
      <c r="AS551" s="108"/>
      <c r="AT551" s="108"/>
      <c r="AU551" s="108"/>
      <c r="AV551" s="108"/>
      <c r="AW551" s="108"/>
      <c r="AX551" s="108"/>
      <c r="AY551" s="108"/>
      <c r="AZ551" s="108"/>
      <c r="BA551" s="108"/>
      <c r="BB551" s="108"/>
      <c r="BC551" s="108"/>
      <c r="BD551" s="108"/>
      <c r="BE551" s="108"/>
      <c r="BF551" s="108"/>
      <c r="BG551" s="108"/>
      <c r="BH551" s="108"/>
      <c r="BI551" s="108"/>
      <c r="BJ551" s="108"/>
      <c r="BK551" s="108"/>
      <c r="BL551" s="108"/>
      <c r="BM551" s="108"/>
      <c r="BN551" s="108"/>
      <c r="BO551" s="108"/>
      <c r="BP551" s="108"/>
      <c r="BQ551" s="108"/>
      <c r="BR551" s="108"/>
      <c r="BS551" s="108"/>
      <c r="BT551" s="108"/>
      <c r="BU551" s="108"/>
      <c r="BV551" s="108"/>
      <c r="BW551" s="108"/>
      <c r="BX551" s="108"/>
      <c r="BY551" s="108"/>
      <c r="BZ551" s="108"/>
      <c r="CA551" s="108"/>
      <c r="CB551" s="108"/>
      <c r="CC551" s="108"/>
      <c r="CD551" s="108"/>
      <c r="CE551" s="108"/>
      <c r="CF551" s="108"/>
      <c r="CG551" s="108"/>
      <c r="CH551" s="108"/>
      <c r="CI551" s="108"/>
      <c r="CJ551" s="108"/>
      <c r="CK551" s="108"/>
      <c r="CL551" s="108"/>
      <c r="CM551" s="108"/>
      <c r="CN551" s="110"/>
      <c r="CO551" s="111"/>
      <c r="CP551" s="110"/>
      <c r="CQ551" s="111"/>
      <c r="CR551" s="110"/>
      <c r="CS551" s="111"/>
      <c r="CT551" s="112">
        <f t="shared" si="146"/>
        <v>0</v>
      </c>
      <c r="CU551" s="113"/>
      <c r="CV551" s="114"/>
      <c r="CW551" s="115"/>
      <c r="CX551" s="116"/>
      <c r="CY551" s="117"/>
      <c r="CZ551" s="116"/>
      <c r="DA551" s="113"/>
      <c r="DB551" s="114"/>
      <c r="DC551" s="64"/>
      <c r="DD551" s="118"/>
    </row>
    <row r="552" spans="1:108" outlineLevel="2">
      <c r="A552" s="178">
        <v>40509</v>
      </c>
      <c r="B552" s="164" t="s">
        <v>1378</v>
      </c>
      <c r="C552" s="164" t="s">
        <v>1248</v>
      </c>
      <c r="D552" s="166" t="s">
        <v>1182</v>
      </c>
      <c r="E552" s="163">
        <v>1</v>
      </c>
      <c r="F552" s="105"/>
      <c r="G552" s="105"/>
      <c r="H552" s="105"/>
      <c r="I552" s="105"/>
      <c r="J552" s="105"/>
      <c r="K552" s="105"/>
      <c r="L552" s="105"/>
      <c r="M552" s="105"/>
      <c r="N552" s="105"/>
      <c r="O552" s="105"/>
      <c r="P552" s="105"/>
      <c r="Q552" s="105"/>
      <c r="R552" s="105"/>
      <c r="S552" s="105"/>
      <c r="T552" s="106"/>
      <c r="U552" s="130"/>
      <c r="V552" s="1"/>
      <c r="W552" s="68">
        <f t="shared" si="141"/>
        <v>0</v>
      </c>
      <c r="X552" s="68">
        <f t="shared" si="142"/>
        <v>0</v>
      </c>
      <c r="Y552" s="68">
        <f t="shared" si="143"/>
        <v>0</v>
      </c>
      <c r="Z552" s="68">
        <f t="shared" si="144"/>
        <v>0</v>
      </c>
      <c r="AA552" s="68"/>
      <c r="AB552" s="68">
        <v>0</v>
      </c>
      <c r="AC552" s="69">
        <f t="shared" si="145"/>
        <v>0</v>
      </c>
      <c r="AD552" s="70">
        <v>0</v>
      </c>
      <c r="AE552" s="63">
        <v>40512</v>
      </c>
      <c r="AF552" s="72"/>
      <c r="AG552" s="63" t="s">
        <v>938</v>
      </c>
      <c r="AH552" s="23" t="s">
        <v>939</v>
      </c>
      <c r="AI552" s="60"/>
      <c r="AJ552" s="124" t="s">
        <v>1608</v>
      </c>
      <c r="AK552" s="121" t="s">
        <v>41</v>
      </c>
      <c r="AL552" s="107"/>
      <c r="AM552" s="108"/>
      <c r="AN552" s="109"/>
      <c r="AO552" s="108"/>
      <c r="AP552" s="108"/>
      <c r="AQ552" s="108"/>
      <c r="AR552" s="108"/>
      <c r="AS552" s="108"/>
      <c r="AT552" s="108"/>
      <c r="AU552" s="108"/>
      <c r="AV552" s="108"/>
      <c r="AW552" s="108"/>
      <c r="AX552" s="108"/>
      <c r="AY552" s="108"/>
      <c r="AZ552" s="108"/>
      <c r="BA552" s="108"/>
      <c r="BB552" s="108"/>
      <c r="BC552" s="108"/>
      <c r="BD552" s="108"/>
      <c r="BE552" s="108"/>
      <c r="BF552" s="108"/>
      <c r="BG552" s="108"/>
      <c r="BH552" s="108"/>
      <c r="BI552" s="108"/>
      <c r="BJ552" s="108"/>
      <c r="BK552" s="108"/>
      <c r="BL552" s="108"/>
      <c r="BM552" s="108"/>
      <c r="BN552" s="108"/>
      <c r="BO552" s="108"/>
      <c r="BP552" s="108"/>
      <c r="BQ552" s="108"/>
      <c r="BR552" s="108"/>
      <c r="BS552" s="108"/>
      <c r="BT552" s="108"/>
      <c r="BU552" s="108"/>
      <c r="BV552" s="108"/>
      <c r="BW552" s="108"/>
      <c r="BX552" s="108"/>
      <c r="BY552" s="108"/>
      <c r="BZ552" s="108"/>
      <c r="CA552" s="108"/>
      <c r="CB552" s="108"/>
      <c r="CC552" s="108"/>
      <c r="CD552" s="108"/>
      <c r="CE552" s="108"/>
      <c r="CF552" s="108"/>
      <c r="CG552" s="108"/>
      <c r="CH552" s="108"/>
      <c r="CI552" s="108"/>
      <c r="CJ552" s="108"/>
      <c r="CK552" s="108"/>
      <c r="CL552" s="108"/>
      <c r="CM552" s="108"/>
      <c r="CN552" s="110"/>
      <c r="CO552" s="111"/>
      <c r="CP552" s="110"/>
      <c r="CQ552" s="111"/>
      <c r="CR552" s="110"/>
      <c r="CS552" s="111"/>
      <c r="CT552" s="112">
        <f t="shared" si="146"/>
        <v>0</v>
      </c>
      <c r="CU552" s="113"/>
      <c r="CV552" s="114"/>
      <c r="CW552" s="115"/>
      <c r="CX552" s="116"/>
      <c r="CY552" s="117"/>
      <c r="CZ552" s="116"/>
      <c r="DA552" s="113"/>
      <c r="DB552" s="114"/>
      <c r="DC552" s="64"/>
      <c r="DD552" s="118"/>
    </row>
    <row r="553" spans="1:108" ht="180" outlineLevel="2">
      <c r="A553" s="178">
        <v>40511</v>
      </c>
      <c r="B553" s="164" t="s">
        <v>1378</v>
      </c>
      <c r="C553" s="164" t="s">
        <v>960</v>
      </c>
      <c r="D553" s="166" t="s">
        <v>1262</v>
      </c>
      <c r="E553" s="163"/>
      <c r="F553" s="105"/>
      <c r="G553" s="105"/>
      <c r="H553" s="105">
        <v>3470</v>
      </c>
      <c r="I553" s="105">
        <v>694</v>
      </c>
      <c r="J553" s="105"/>
      <c r="K553" s="105">
        <v>694</v>
      </c>
      <c r="L553" s="105">
        <v>11</v>
      </c>
      <c r="M553" s="105"/>
      <c r="N553" s="105"/>
      <c r="O553" s="105">
        <v>7</v>
      </c>
      <c r="P553" s="105"/>
      <c r="Q553" s="105"/>
      <c r="R553" s="105">
        <v>1</v>
      </c>
      <c r="S553" s="105"/>
      <c r="T553" s="106"/>
      <c r="U553" s="130"/>
      <c r="V553" s="1"/>
      <c r="W553" s="68">
        <f t="shared" si="141"/>
        <v>0</v>
      </c>
      <c r="X553" s="68">
        <f t="shared" si="142"/>
        <v>0</v>
      </c>
      <c r="Y553" s="68">
        <f t="shared" si="143"/>
        <v>0</v>
      </c>
      <c r="Z553" s="68">
        <f t="shared" si="144"/>
        <v>0</v>
      </c>
      <c r="AA553" s="68"/>
      <c r="AB553" s="68">
        <v>0</v>
      </c>
      <c r="AC553" s="69">
        <f t="shared" si="145"/>
        <v>0</v>
      </c>
      <c r="AD553" s="70">
        <v>0</v>
      </c>
      <c r="AE553" s="63"/>
      <c r="AF553" s="72"/>
      <c r="AG553" s="63"/>
      <c r="AH553" s="23"/>
      <c r="AI553" s="60"/>
      <c r="AJ553" s="124"/>
      <c r="AK553" s="121" t="s">
        <v>122</v>
      </c>
      <c r="AL553" s="107"/>
      <c r="AM553" s="108"/>
      <c r="AN553" s="109"/>
      <c r="AO553" s="108"/>
      <c r="AP553" s="108"/>
      <c r="AQ553" s="108"/>
      <c r="AR553" s="108"/>
      <c r="AS553" s="108"/>
      <c r="AT553" s="108"/>
      <c r="AU553" s="108"/>
      <c r="AV553" s="108"/>
      <c r="AW553" s="108"/>
      <c r="AX553" s="108"/>
      <c r="AY553" s="108"/>
      <c r="AZ553" s="108"/>
      <c r="BA553" s="108"/>
      <c r="BB553" s="108"/>
      <c r="BC553" s="108"/>
      <c r="BD553" s="108"/>
      <c r="BE553" s="108"/>
      <c r="BF553" s="108"/>
      <c r="BG553" s="108"/>
      <c r="BH553" s="108"/>
      <c r="BI553" s="108"/>
      <c r="BJ553" s="108"/>
      <c r="BK553" s="108"/>
      <c r="BL553" s="108"/>
      <c r="BM553" s="108"/>
      <c r="BN553" s="108"/>
      <c r="BO553" s="108"/>
      <c r="BP553" s="108"/>
      <c r="BQ553" s="108"/>
      <c r="BR553" s="108"/>
      <c r="BS553" s="108"/>
      <c r="BT553" s="108"/>
      <c r="BU553" s="108"/>
      <c r="BV553" s="108"/>
      <c r="BW553" s="108"/>
      <c r="BX553" s="108"/>
      <c r="BY553" s="108"/>
      <c r="BZ553" s="108"/>
      <c r="CA553" s="108"/>
      <c r="CB553" s="108"/>
      <c r="CC553" s="108"/>
      <c r="CD553" s="108"/>
      <c r="CE553" s="108"/>
      <c r="CF553" s="108"/>
      <c r="CG553" s="108"/>
      <c r="CH553" s="108"/>
      <c r="CI553" s="108"/>
      <c r="CJ553" s="108"/>
      <c r="CK553" s="108"/>
      <c r="CL553" s="108"/>
      <c r="CM553" s="108"/>
      <c r="CN553" s="110"/>
      <c r="CO553" s="111"/>
      <c r="CP553" s="110"/>
      <c r="CQ553" s="111"/>
      <c r="CR553" s="110"/>
      <c r="CS553" s="111"/>
      <c r="CT553" s="112">
        <f t="shared" si="146"/>
        <v>0</v>
      </c>
      <c r="CU553" s="113"/>
      <c r="CV553" s="114"/>
      <c r="CW553" s="115"/>
      <c r="CX553" s="116"/>
      <c r="CY553" s="117"/>
      <c r="CZ553" s="116"/>
      <c r="DA553" s="113"/>
      <c r="DB553" s="114"/>
      <c r="DC553" s="64"/>
      <c r="DD553" s="118"/>
    </row>
    <row r="554" spans="1:108" ht="24" outlineLevel="2">
      <c r="A554" s="178">
        <v>40511</v>
      </c>
      <c r="B554" s="164" t="s">
        <v>1378</v>
      </c>
      <c r="C554" s="164" t="s">
        <v>2243</v>
      </c>
      <c r="D554" s="166" t="s">
        <v>1182</v>
      </c>
      <c r="E554" s="163">
        <v>1</v>
      </c>
      <c r="F554" s="105"/>
      <c r="G554" s="105"/>
      <c r="H554" s="105">
        <v>2220</v>
      </c>
      <c r="I554" s="105">
        <v>444</v>
      </c>
      <c r="J554" s="105">
        <v>6</v>
      </c>
      <c r="K554" s="105">
        <v>438</v>
      </c>
      <c r="L554" s="105"/>
      <c r="M554" s="105"/>
      <c r="N554" s="105"/>
      <c r="O554" s="105"/>
      <c r="P554" s="105"/>
      <c r="Q554" s="105"/>
      <c r="R554" s="105"/>
      <c r="S554" s="105"/>
      <c r="T554" s="106"/>
      <c r="U554" s="130"/>
      <c r="V554" s="1"/>
      <c r="W554" s="68">
        <f t="shared" si="141"/>
        <v>0</v>
      </c>
      <c r="X554" s="68">
        <f t="shared" si="142"/>
        <v>0</v>
      </c>
      <c r="Y554" s="68">
        <f t="shared" si="143"/>
        <v>0</v>
      </c>
      <c r="Z554" s="68">
        <f t="shared" si="144"/>
        <v>0</v>
      </c>
      <c r="AA554" s="68"/>
      <c r="AB554" s="68">
        <v>0</v>
      </c>
      <c r="AC554" s="69">
        <f t="shared" si="145"/>
        <v>0</v>
      </c>
      <c r="AD554" s="70">
        <v>0</v>
      </c>
      <c r="AE554" s="63">
        <v>40513</v>
      </c>
      <c r="AF554" s="72"/>
      <c r="AG554" s="63" t="s">
        <v>938</v>
      </c>
      <c r="AH554" s="23" t="s">
        <v>939</v>
      </c>
      <c r="AI554" s="60"/>
      <c r="AJ554" s="124" t="s">
        <v>1608</v>
      </c>
      <c r="AK554" s="121" t="s">
        <v>2087</v>
      </c>
      <c r="AL554" s="107"/>
      <c r="AM554" s="108"/>
      <c r="AN554" s="109"/>
      <c r="AO554" s="108"/>
      <c r="AP554" s="108"/>
      <c r="AQ554" s="108"/>
      <c r="AR554" s="108"/>
      <c r="AS554" s="108"/>
      <c r="AT554" s="108"/>
      <c r="AU554" s="108"/>
      <c r="AV554" s="108"/>
      <c r="AW554" s="108"/>
      <c r="AX554" s="108"/>
      <c r="AY554" s="108"/>
      <c r="AZ554" s="108"/>
      <c r="BA554" s="108"/>
      <c r="BB554" s="108"/>
      <c r="BC554" s="108"/>
      <c r="BD554" s="108"/>
      <c r="BE554" s="108"/>
      <c r="BF554" s="108"/>
      <c r="BG554" s="108"/>
      <c r="BH554" s="108"/>
      <c r="BI554" s="108"/>
      <c r="BJ554" s="108"/>
      <c r="BK554" s="108"/>
      <c r="BL554" s="108"/>
      <c r="BM554" s="108"/>
      <c r="BN554" s="108"/>
      <c r="BO554" s="108"/>
      <c r="BP554" s="108"/>
      <c r="BQ554" s="108"/>
      <c r="BR554" s="108"/>
      <c r="BS554" s="108"/>
      <c r="BT554" s="108"/>
      <c r="BU554" s="108"/>
      <c r="BV554" s="108"/>
      <c r="BW554" s="108"/>
      <c r="BX554" s="108"/>
      <c r="BY554" s="108"/>
      <c r="BZ554" s="108"/>
      <c r="CA554" s="108"/>
      <c r="CB554" s="108"/>
      <c r="CC554" s="108"/>
      <c r="CD554" s="108"/>
      <c r="CE554" s="108"/>
      <c r="CF554" s="108"/>
      <c r="CG554" s="108"/>
      <c r="CH554" s="108"/>
      <c r="CI554" s="108"/>
      <c r="CJ554" s="108"/>
      <c r="CK554" s="108"/>
      <c r="CL554" s="108"/>
      <c r="CM554" s="108"/>
      <c r="CN554" s="110"/>
      <c r="CO554" s="111"/>
      <c r="CP554" s="110"/>
      <c r="CQ554" s="111"/>
      <c r="CR554" s="110"/>
      <c r="CS554" s="111"/>
      <c r="CT554" s="112">
        <f t="shared" si="146"/>
        <v>0</v>
      </c>
      <c r="CU554" s="113"/>
      <c r="CV554" s="114"/>
      <c r="CW554" s="115"/>
      <c r="CX554" s="116"/>
      <c r="CY554" s="117"/>
      <c r="CZ554" s="116"/>
      <c r="DA554" s="113"/>
      <c r="DB554" s="114"/>
      <c r="DC554" s="64"/>
      <c r="DD554" s="118"/>
    </row>
    <row r="555" spans="1:108" ht="36" outlineLevel="2">
      <c r="A555" s="178">
        <v>40511</v>
      </c>
      <c r="B555" s="164" t="s">
        <v>1378</v>
      </c>
      <c r="C555" s="164" t="s">
        <v>1248</v>
      </c>
      <c r="D555" s="166" t="s">
        <v>1262</v>
      </c>
      <c r="E555" s="163">
        <v>1</v>
      </c>
      <c r="F555" s="105"/>
      <c r="G555" s="105"/>
      <c r="H555" s="105"/>
      <c r="I555" s="105"/>
      <c r="J555" s="105"/>
      <c r="K555" s="105"/>
      <c r="L555" s="105"/>
      <c r="M555" s="105"/>
      <c r="N555" s="105"/>
      <c r="O555" s="105"/>
      <c r="P555" s="105"/>
      <c r="Q555" s="105"/>
      <c r="R555" s="105"/>
      <c r="S555" s="105"/>
      <c r="T555" s="106"/>
      <c r="U555" s="130"/>
      <c r="V555" s="1"/>
      <c r="W555" s="68">
        <f t="shared" si="141"/>
        <v>0</v>
      </c>
      <c r="X555" s="68">
        <f t="shared" si="142"/>
        <v>0</v>
      </c>
      <c r="Y555" s="68">
        <f t="shared" si="143"/>
        <v>0</v>
      </c>
      <c r="Z555" s="68">
        <f t="shared" si="144"/>
        <v>0</v>
      </c>
      <c r="AA555" s="68"/>
      <c r="AB555" s="68">
        <v>0</v>
      </c>
      <c r="AC555" s="69">
        <f t="shared" si="145"/>
        <v>0</v>
      </c>
      <c r="AD555" s="70">
        <v>0</v>
      </c>
      <c r="AE555" s="63">
        <v>40512</v>
      </c>
      <c r="AF555" s="72"/>
      <c r="AG555" s="63" t="s">
        <v>938</v>
      </c>
      <c r="AH555" s="23" t="s">
        <v>939</v>
      </c>
      <c r="AI555" s="60"/>
      <c r="AJ555" s="124" t="s">
        <v>1608</v>
      </c>
      <c r="AK555" s="121" t="s">
        <v>2079</v>
      </c>
      <c r="AL555" s="107"/>
      <c r="AM555" s="108"/>
      <c r="AN555" s="109"/>
      <c r="AO555" s="108"/>
      <c r="AP555" s="108"/>
      <c r="AQ555" s="108"/>
      <c r="AR555" s="108"/>
      <c r="AS555" s="108"/>
      <c r="AT555" s="108"/>
      <c r="AU555" s="108"/>
      <c r="AV555" s="108"/>
      <c r="AW555" s="108"/>
      <c r="AX555" s="108"/>
      <c r="AY555" s="108"/>
      <c r="AZ555" s="108"/>
      <c r="BA555" s="108"/>
      <c r="BB555" s="108"/>
      <c r="BC555" s="108"/>
      <c r="BD555" s="108"/>
      <c r="BE555" s="108"/>
      <c r="BF555" s="108"/>
      <c r="BG555" s="108"/>
      <c r="BH555" s="108"/>
      <c r="BI555" s="108"/>
      <c r="BJ555" s="108"/>
      <c r="BK555" s="108"/>
      <c r="BL555" s="108"/>
      <c r="BM555" s="108"/>
      <c r="BN555" s="108"/>
      <c r="BO555" s="108"/>
      <c r="BP555" s="108"/>
      <c r="BQ555" s="108"/>
      <c r="BR555" s="108"/>
      <c r="BS555" s="108"/>
      <c r="BT555" s="108"/>
      <c r="BU555" s="108"/>
      <c r="BV555" s="108"/>
      <c r="BW555" s="108"/>
      <c r="BX555" s="108"/>
      <c r="BY555" s="108"/>
      <c r="BZ555" s="108"/>
      <c r="CA555" s="108"/>
      <c r="CB555" s="108"/>
      <c r="CC555" s="108"/>
      <c r="CD555" s="108"/>
      <c r="CE555" s="108"/>
      <c r="CF555" s="108"/>
      <c r="CG555" s="108"/>
      <c r="CH555" s="108"/>
      <c r="CI555" s="108"/>
      <c r="CJ555" s="108"/>
      <c r="CK555" s="108"/>
      <c r="CL555" s="108"/>
      <c r="CM555" s="108"/>
      <c r="CN555" s="110"/>
      <c r="CO555" s="111"/>
      <c r="CP555" s="110"/>
      <c r="CQ555" s="111"/>
      <c r="CR555" s="110"/>
      <c r="CS555" s="111"/>
      <c r="CT555" s="112">
        <f t="shared" si="146"/>
        <v>0</v>
      </c>
      <c r="CU555" s="113"/>
      <c r="CV555" s="114"/>
      <c r="CW555" s="115"/>
      <c r="CX555" s="116"/>
      <c r="CY555" s="117"/>
      <c r="CZ555" s="116"/>
      <c r="DA555" s="113"/>
      <c r="DB555" s="114"/>
      <c r="DC555" s="64"/>
      <c r="DD555" s="118"/>
    </row>
    <row r="556" spans="1:108" outlineLevel="2">
      <c r="A556" s="178">
        <v>40514</v>
      </c>
      <c r="B556" s="164" t="s">
        <v>1378</v>
      </c>
      <c r="C556" s="164" t="s">
        <v>125</v>
      </c>
      <c r="D556" s="166" t="s">
        <v>1262</v>
      </c>
      <c r="E556" s="163"/>
      <c r="F556" s="105"/>
      <c r="G556" s="105"/>
      <c r="H556" s="105">
        <f>470*5</f>
        <v>2350</v>
      </c>
      <c r="I556" s="105">
        <v>470</v>
      </c>
      <c r="J556" s="105"/>
      <c r="K556" s="105">
        <v>470</v>
      </c>
      <c r="L556" s="105"/>
      <c r="M556" s="105"/>
      <c r="N556" s="105"/>
      <c r="O556" s="105"/>
      <c r="P556" s="105"/>
      <c r="Q556" s="105"/>
      <c r="R556" s="105"/>
      <c r="S556" s="105"/>
      <c r="T556" s="106"/>
      <c r="U556" s="130"/>
      <c r="V556" s="1"/>
      <c r="W556" s="68">
        <f t="shared" si="141"/>
        <v>0</v>
      </c>
      <c r="X556" s="68">
        <f t="shared" si="142"/>
        <v>0</v>
      </c>
      <c r="Y556" s="68">
        <f t="shared" si="143"/>
        <v>0</v>
      </c>
      <c r="Z556" s="68">
        <f t="shared" si="144"/>
        <v>0</v>
      </c>
      <c r="AA556" s="68"/>
      <c r="AB556" s="68">
        <v>0</v>
      </c>
      <c r="AC556" s="69">
        <f t="shared" si="145"/>
        <v>0</v>
      </c>
      <c r="AD556" s="70">
        <v>0</v>
      </c>
      <c r="AE556" s="63"/>
      <c r="AF556" s="72"/>
      <c r="AG556" s="63"/>
      <c r="AH556" s="23"/>
      <c r="AI556" s="60"/>
      <c r="AJ556" s="124"/>
      <c r="AK556" s="185" t="s">
        <v>1612</v>
      </c>
      <c r="AL556" s="123"/>
      <c r="AM556" s="108"/>
      <c r="AN556" s="109"/>
      <c r="AO556" s="108"/>
      <c r="AP556" s="108"/>
      <c r="AQ556" s="108"/>
      <c r="AR556" s="108"/>
      <c r="AS556" s="108"/>
      <c r="AT556" s="108"/>
      <c r="AU556" s="108"/>
      <c r="AV556" s="108"/>
      <c r="AW556" s="108"/>
      <c r="AX556" s="108"/>
      <c r="AY556" s="108"/>
      <c r="AZ556" s="108"/>
      <c r="BA556" s="108"/>
      <c r="BB556" s="108"/>
      <c r="BC556" s="108"/>
      <c r="BD556" s="108"/>
      <c r="BE556" s="108"/>
      <c r="BF556" s="108"/>
      <c r="BG556" s="108"/>
      <c r="BH556" s="108"/>
      <c r="BI556" s="108"/>
      <c r="BJ556" s="108"/>
      <c r="BK556" s="108"/>
      <c r="BL556" s="108"/>
      <c r="BM556" s="108"/>
      <c r="BN556" s="108"/>
      <c r="BO556" s="108"/>
      <c r="BP556" s="108"/>
      <c r="BQ556" s="108"/>
      <c r="BR556" s="108"/>
      <c r="BS556" s="108"/>
      <c r="BT556" s="108"/>
      <c r="BU556" s="108"/>
      <c r="BV556" s="108"/>
      <c r="BW556" s="108"/>
      <c r="BX556" s="108"/>
      <c r="BY556" s="108"/>
      <c r="BZ556" s="108"/>
      <c r="CA556" s="108"/>
      <c r="CB556" s="108"/>
      <c r="CC556" s="108"/>
      <c r="CD556" s="108"/>
      <c r="CE556" s="108"/>
      <c r="CF556" s="108"/>
      <c r="CG556" s="108"/>
      <c r="CH556" s="108"/>
      <c r="CI556" s="108"/>
      <c r="CJ556" s="108"/>
      <c r="CK556" s="108"/>
      <c r="CL556" s="108"/>
      <c r="CM556" s="108"/>
      <c r="CN556" s="110"/>
      <c r="CO556" s="111"/>
      <c r="CP556" s="110"/>
      <c r="CQ556" s="111"/>
      <c r="CR556" s="110"/>
      <c r="CS556" s="111"/>
      <c r="CT556" s="112">
        <f t="shared" si="146"/>
        <v>0</v>
      </c>
      <c r="CU556" s="113"/>
      <c r="CV556" s="114"/>
      <c r="CW556" s="115"/>
      <c r="CX556" s="116"/>
      <c r="CY556" s="117"/>
      <c r="CZ556" s="116"/>
      <c r="DA556" s="113"/>
      <c r="DB556" s="114"/>
      <c r="DC556" s="64"/>
      <c r="DD556" s="118"/>
    </row>
    <row r="557" spans="1:108" outlineLevel="2">
      <c r="A557" s="178">
        <v>40520</v>
      </c>
      <c r="B557" s="164" t="s">
        <v>1378</v>
      </c>
      <c r="C557" s="164" t="s">
        <v>253</v>
      </c>
      <c r="D557" s="166" t="s">
        <v>1182</v>
      </c>
      <c r="E557" s="163"/>
      <c r="F557" s="105"/>
      <c r="G557" s="105"/>
      <c r="H557" s="105">
        <v>18</v>
      </c>
      <c r="I557" s="105">
        <v>5</v>
      </c>
      <c r="J557" s="105"/>
      <c r="K557" s="105">
        <v>5</v>
      </c>
      <c r="L557" s="105"/>
      <c r="M557" s="105"/>
      <c r="N557" s="105"/>
      <c r="O557" s="105"/>
      <c r="P557" s="105"/>
      <c r="Q557" s="105"/>
      <c r="R557" s="105"/>
      <c r="S557" s="105"/>
      <c r="T557" s="106"/>
      <c r="U557" s="130"/>
      <c r="V557" s="1"/>
      <c r="W557" s="68">
        <f t="shared" si="141"/>
        <v>0</v>
      </c>
      <c r="X557" s="68">
        <f t="shared" si="142"/>
        <v>0</v>
      </c>
      <c r="Y557" s="68">
        <f t="shared" si="143"/>
        <v>0</v>
      </c>
      <c r="Z557" s="68">
        <f t="shared" si="144"/>
        <v>0</v>
      </c>
      <c r="AA557" s="68"/>
      <c r="AB557" s="68">
        <v>0</v>
      </c>
      <c r="AC557" s="69">
        <f t="shared" si="145"/>
        <v>0</v>
      </c>
      <c r="AD557" s="70">
        <v>0</v>
      </c>
      <c r="AE557" s="63"/>
      <c r="AF557" s="72"/>
      <c r="AG557" s="63"/>
      <c r="AH557" s="23"/>
      <c r="AI557" s="60"/>
      <c r="AJ557" s="124"/>
      <c r="AK557" s="185" t="s">
        <v>1612</v>
      </c>
      <c r="AL557" s="123"/>
      <c r="AM557" s="108"/>
      <c r="AN557" s="109"/>
      <c r="AO557" s="108"/>
      <c r="AP557" s="108"/>
      <c r="AQ557" s="108"/>
      <c r="AR557" s="108"/>
      <c r="AS557" s="108"/>
      <c r="AT557" s="108"/>
      <c r="AU557" s="108"/>
      <c r="AV557" s="108"/>
      <c r="AW557" s="108"/>
      <c r="AX557" s="108"/>
      <c r="AY557" s="108"/>
      <c r="AZ557" s="108"/>
      <c r="BA557" s="108"/>
      <c r="BB557" s="108"/>
      <c r="BC557" s="108"/>
      <c r="BD557" s="108"/>
      <c r="BE557" s="108"/>
      <c r="BF557" s="108"/>
      <c r="BG557" s="108"/>
      <c r="BH557" s="108"/>
      <c r="BI557" s="108"/>
      <c r="BJ557" s="108"/>
      <c r="BK557" s="108"/>
      <c r="BL557" s="108"/>
      <c r="BM557" s="108"/>
      <c r="BN557" s="108"/>
      <c r="BO557" s="108"/>
      <c r="BP557" s="108"/>
      <c r="BQ557" s="108"/>
      <c r="BR557" s="108"/>
      <c r="BS557" s="108"/>
      <c r="BT557" s="108"/>
      <c r="BU557" s="108"/>
      <c r="BV557" s="108"/>
      <c r="BW557" s="108"/>
      <c r="BX557" s="108"/>
      <c r="BY557" s="108"/>
      <c r="BZ557" s="108"/>
      <c r="CA557" s="108"/>
      <c r="CB557" s="108"/>
      <c r="CC557" s="108"/>
      <c r="CD557" s="108"/>
      <c r="CE557" s="108"/>
      <c r="CF557" s="108"/>
      <c r="CG557" s="108"/>
      <c r="CH557" s="108"/>
      <c r="CI557" s="108"/>
      <c r="CJ557" s="108"/>
      <c r="CK557" s="108"/>
      <c r="CL557" s="108"/>
      <c r="CM557" s="108"/>
      <c r="CN557" s="110"/>
      <c r="CO557" s="111"/>
      <c r="CP557" s="110"/>
      <c r="CQ557" s="111"/>
      <c r="CR557" s="110"/>
      <c r="CS557" s="111"/>
      <c r="CT557" s="112">
        <f t="shared" si="146"/>
        <v>0</v>
      </c>
      <c r="CU557" s="113"/>
      <c r="CV557" s="114"/>
      <c r="CW557" s="115"/>
      <c r="CX557" s="116"/>
      <c r="CY557" s="117"/>
      <c r="CZ557" s="116"/>
      <c r="DA557" s="113"/>
      <c r="DB557" s="114"/>
      <c r="DC557" s="64" t="s">
        <v>3</v>
      </c>
      <c r="DD557" s="118"/>
    </row>
    <row r="558" spans="1:108" outlineLevel="2">
      <c r="A558" s="178">
        <v>40524</v>
      </c>
      <c r="B558" s="164" t="s">
        <v>1378</v>
      </c>
      <c r="C558" s="164" t="s">
        <v>2406</v>
      </c>
      <c r="D558" s="166" t="s">
        <v>1182</v>
      </c>
      <c r="E558" s="163"/>
      <c r="F558" s="105"/>
      <c r="G558" s="105"/>
      <c r="H558" s="105"/>
      <c r="I558" s="105"/>
      <c r="J558" s="105"/>
      <c r="K558" s="105"/>
      <c r="L558" s="105"/>
      <c r="M558" s="105"/>
      <c r="N558" s="105"/>
      <c r="O558" s="105">
        <v>1</v>
      </c>
      <c r="P558" s="105"/>
      <c r="Q558" s="105"/>
      <c r="R558" s="105"/>
      <c r="S558" s="105"/>
      <c r="T558" s="106"/>
      <c r="U558" s="130"/>
      <c r="V558" s="1"/>
      <c r="W558" s="68">
        <f t="shared" si="141"/>
        <v>0</v>
      </c>
      <c r="X558" s="68">
        <f t="shared" si="142"/>
        <v>0</v>
      </c>
      <c r="Y558" s="68">
        <f t="shared" si="143"/>
        <v>0</v>
      </c>
      <c r="Z558" s="68">
        <f t="shared" si="144"/>
        <v>0</v>
      </c>
      <c r="AA558" s="68"/>
      <c r="AB558" s="68">
        <v>0</v>
      </c>
      <c r="AC558" s="69">
        <f t="shared" si="145"/>
        <v>0</v>
      </c>
      <c r="AD558" s="70">
        <v>0</v>
      </c>
      <c r="AE558" s="63"/>
      <c r="AF558" s="72"/>
      <c r="AG558" s="63"/>
      <c r="AH558" s="23"/>
      <c r="AI558" s="60"/>
      <c r="AJ558" s="124"/>
      <c r="AK558" s="185" t="s">
        <v>2404</v>
      </c>
      <c r="AL558" s="123"/>
      <c r="AM558" s="108"/>
      <c r="AN558" s="109"/>
      <c r="AO558" s="108"/>
      <c r="AP558" s="108"/>
      <c r="AQ558" s="108"/>
      <c r="AR558" s="108"/>
      <c r="AS558" s="108"/>
      <c r="AT558" s="108"/>
      <c r="AU558" s="108"/>
      <c r="AV558" s="108"/>
      <c r="AW558" s="108"/>
      <c r="AX558" s="108"/>
      <c r="AY558" s="108"/>
      <c r="AZ558" s="108"/>
      <c r="BA558" s="108"/>
      <c r="BB558" s="108"/>
      <c r="BC558" s="108"/>
      <c r="BD558" s="108"/>
      <c r="BE558" s="108"/>
      <c r="BF558" s="108"/>
      <c r="BG558" s="108"/>
      <c r="BH558" s="108"/>
      <c r="BI558" s="108"/>
      <c r="BJ558" s="108"/>
      <c r="BK558" s="108"/>
      <c r="BL558" s="108"/>
      <c r="BM558" s="108"/>
      <c r="BN558" s="108"/>
      <c r="BO558" s="108"/>
      <c r="BP558" s="108"/>
      <c r="BQ558" s="108"/>
      <c r="BR558" s="108"/>
      <c r="BS558" s="108"/>
      <c r="BT558" s="108"/>
      <c r="BU558" s="108"/>
      <c r="BV558" s="108"/>
      <c r="BW558" s="108"/>
      <c r="BX558" s="108"/>
      <c r="BY558" s="108"/>
      <c r="BZ558" s="108"/>
      <c r="CA558" s="108"/>
      <c r="CB558" s="108"/>
      <c r="CC558" s="108"/>
      <c r="CD558" s="108"/>
      <c r="CE558" s="108"/>
      <c r="CF558" s="108"/>
      <c r="CG558" s="108"/>
      <c r="CH558" s="108"/>
      <c r="CI558" s="108"/>
      <c r="CJ558" s="108"/>
      <c r="CK558" s="108"/>
      <c r="CL558" s="108"/>
      <c r="CM558" s="108"/>
      <c r="CN558" s="110"/>
      <c r="CO558" s="111"/>
      <c r="CP558" s="110"/>
      <c r="CQ558" s="111"/>
      <c r="CR558" s="110"/>
      <c r="CS558" s="111"/>
      <c r="CT558" s="112">
        <f t="shared" si="146"/>
        <v>0</v>
      </c>
      <c r="CU558" s="113"/>
      <c r="CV558" s="114"/>
      <c r="CW558" s="115"/>
      <c r="CX558" s="116"/>
      <c r="CY558" s="117"/>
      <c r="CZ558" s="116"/>
      <c r="DA558" s="113"/>
      <c r="DB558" s="114"/>
      <c r="DC558" s="64"/>
      <c r="DD558" s="118"/>
    </row>
    <row r="559" spans="1:108" outlineLevel="2">
      <c r="A559" s="178">
        <v>40524</v>
      </c>
      <c r="B559" s="164" t="s">
        <v>1378</v>
      </c>
      <c r="C559" s="164" t="s">
        <v>2101</v>
      </c>
      <c r="D559" s="166" t="s">
        <v>1182</v>
      </c>
      <c r="E559" s="163"/>
      <c r="F559" s="105"/>
      <c r="G559" s="105"/>
      <c r="H559" s="105"/>
      <c r="I559" s="105"/>
      <c r="J559" s="105"/>
      <c r="K559" s="105"/>
      <c r="L559" s="105">
        <v>1</v>
      </c>
      <c r="M559" s="105"/>
      <c r="N559" s="105"/>
      <c r="O559" s="105">
        <v>1</v>
      </c>
      <c r="P559" s="105"/>
      <c r="Q559" s="105"/>
      <c r="R559" s="105"/>
      <c r="S559" s="105"/>
      <c r="T559" s="106"/>
      <c r="U559" s="130"/>
      <c r="V559" s="1"/>
      <c r="W559" s="68">
        <f t="shared" si="141"/>
        <v>0</v>
      </c>
      <c r="X559" s="68">
        <f t="shared" si="142"/>
        <v>0</v>
      </c>
      <c r="Y559" s="68">
        <f t="shared" si="143"/>
        <v>0</v>
      </c>
      <c r="Z559" s="68">
        <f t="shared" si="144"/>
        <v>0</v>
      </c>
      <c r="AA559" s="68"/>
      <c r="AB559" s="68">
        <v>0</v>
      </c>
      <c r="AC559" s="69">
        <f t="shared" si="145"/>
        <v>0</v>
      </c>
      <c r="AD559" s="70">
        <v>0</v>
      </c>
      <c r="AE559" s="63"/>
      <c r="AF559" s="72"/>
      <c r="AG559" s="63"/>
      <c r="AH559" s="23"/>
      <c r="AI559" s="60"/>
      <c r="AJ559" s="124"/>
      <c r="AK559" s="185" t="s">
        <v>2404</v>
      </c>
      <c r="AL559" s="123"/>
      <c r="AM559" s="108"/>
      <c r="AN559" s="109"/>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c r="BU559" s="108"/>
      <c r="BV559" s="108"/>
      <c r="BW559" s="108"/>
      <c r="BX559" s="108"/>
      <c r="BY559" s="108"/>
      <c r="BZ559" s="108"/>
      <c r="CA559" s="108"/>
      <c r="CB559" s="108"/>
      <c r="CC559" s="108"/>
      <c r="CD559" s="108"/>
      <c r="CE559" s="108"/>
      <c r="CF559" s="108"/>
      <c r="CG559" s="108"/>
      <c r="CH559" s="108"/>
      <c r="CI559" s="108"/>
      <c r="CJ559" s="108"/>
      <c r="CK559" s="108"/>
      <c r="CL559" s="108"/>
      <c r="CM559" s="108"/>
      <c r="CN559" s="110"/>
      <c r="CO559" s="111"/>
      <c r="CP559" s="110"/>
      <c r="CQ559" s="111"/>
      <c r="CR559" s="110"/>
      <c r="CS559" s="111"/>
      <c r="CT559" s="112">
        <f t="shared" si="146"/>
        <v>0</v>
      </c>
      <c r="CU559" s="113"/>
      <c r="CV559" s="114"/>
      <c r="CW559" s="115"/>
      <c r="CX559" s="116"/>
      <c r="CY559" s="117"/>
      <c r="CZ559" s="116"/>
      <c r="DA559" s="113"/>
      <c r="DB559" s="114"/>
      <c r="DC559" s="64"/>
      <c r="DD559" s="118"/>
    </row>
    <row r="560" spans="1:108" ht="22.5" outlineLevel="2">
      <c r="A560" s="178">
        <v>40524</v>
      </c>
      <c r="B560" s="164" t="s">
        <v>1378</v>
      </c>
      <c r="C560" s="164" t="s">
        <v>1792</v>
      </c>
      <c r="D560" s="166" t="s">
        <v>1262</v>
      </c>
      <c r="E560" s="163"/>
      <c r="F560" s="105"/>
      <c r="G560" s="105"/>
      <c r="H560" s="105">
        <v>1000</v>
      </c>
      <c r="I560" s="105">
        <v>200</v>
      </c>
      <c r="J560" s="105"/>
      <c r="K560" s="105"/>
      <c r="L560" s="105"/>
      <c r="M560" s="105"/>
      <c r="N560" s="105"/>
      <c r="O560" s="105"/>
      <c r="P560" s="105"/>
      <c r="Q560" s="105"/>
      <c r="R560" s="105"/>
      <c r="S560" s="105"/>
      <c r="T560" s="106"/>
      <c r="U560" s="130"/>
      <c r="V560" s="1"/>
      <c r="W560" s="68">
        <f t="shared" si="141"/>
        <v>0</v>
      </c>
      <c r="X560" s="68">
        <f t="shared" si="142"/>
        <v>0</v>
      </c>
      <c r="Y560" s="68">
        <f t="shared" si="143"/>
        <v>0</v>
      </c>
      <c r="Z560" s="68">
        <f t="shared" si="144"/>
        <v>0</v>
      </c>
      <c r="AA560" s="68"/>
      <c r="AB560" s="68">
        <v>0</v>
      </c>
      <c r="AC560" s="69">
        <f t="shared" si="145"/>
        <v>0</v>
      </c>
      <c r="AD560" s="70">
        <v>0</v>
      </c>
      <c r="AE560" s="63"/>
      <c r="AF560" s="72"/>
      <c r="AG560" s="63"/>
      <c r="AH560" s="23"/>
      <c r="AI560" s="60"/>
      <c r="AJ560" s="124"/>
      <c r="AK560" s="121" t="s">
        <v>1565</v>
      </c>
      <c r="AL560" s="107"/>
      <c r="AM560" s="108"/>
      <c r="AN560" s="109"/>
      <c r="AO560" s="108"/>
      <c r="AP560" s="108"/>
      <c r="AQ560" s="108"/>
      <c r="AR560" s="108"/>
      <c r="AS560" s="108"/>
      <c r="AT560" s="108"/>
      <c r="AU560" s="108"/>
      <c r="AV560" s="108"/>
      <c r="AW560" s="108"/>
      <c r="AX560" s="108"/>
      <c r="AY560" s="108"/>
      <c r="AZ560" s="108"/>
      <c r="BA560" s="108"/>
      <c r="BB560" s="108"/>
      <c r="BC560" s="108"/>
      <c r="BD560" s="108"/>
      <c r="BE560" s="108"/>
      <c r="BF560" s="108"/>
      <c r="BG560" s="108"/>
      <c r="BH560" s="108"/>
      <c r="BI560" s="108"/>
      <c r="BJ560" s="108"/>
      <c r="BK560" s="108"/>
      <c r="BL560" s="108"/>
      <c r="BM560" s="108"/>
      <c r="BN560" s="108"/>
      <c r="BO560" s="108"/>
      <c r="BP560" s="108"/>
      <c r="BQ560" s="108"/>
      <c r="BR560" s="108"/>
      <c r="BS560" s="108"/>
      <c r="BT560" s="108"/>
      <c r="BU560" s="108"/>
      <c r="BV560" s="108"/>
      <c r="BW560" s="108"/>
      <c r="BX560" s="108"/>
      <c r="BY560" s="108"/>
      <c r="BZ560" s="108"/>
      <c r="CA560" s="108"/>
      <c r="CB560" s="108"/>
      <c r="CC560" s="108"/>
      <c r="CD560" s="108"/>
      <c r="CE560" s="108"/>
      <c r="CF560" s="108"/>
      <c r="CG560" s="108"/>
      <c r="CH560" s="108"/>
      <c r="CI560" s="108"/>
      <c r="CJ560" s="108"/>
      <c r="CK560" s="108"/>
      <c r="CL560" s="108"/>
      <c r="CM560" s="108"/>
      <c r="CN560" s="110"/>
      <c r="CO560" s="111"/>
      <c r="CP560" s="110"/>
      <c r="CQ560" s="111"/>
      <c r="CR560" s="110"/>
      <c r="CS560" s="111"/>
      <c r="CT560" s="112">
        <f t="shared" si="146"/>
        <v>0</v>
      </c>
      <c r="CU560" s="113"/>
      <c r="CV560" s="114"/>
      <c r="CW560" s="115"/>
      <c r="CX560" s="116"/>
      <c r="CY560" s="117"/>
      <c r="CZ560" s="116"/>
      <c r="DA560" s="113"/>
      <c r="DB560" s="114"/>
      <c r="DC560" s="64"/>
      <c r="DD560" s="118"/>
    </row>
    <row r="561" spans="1:108" outlineLevel="1">
      <c r="A561" s="178"/>
      <c r="B561" s="192" t="s">
        <v>2447</v>
      </c>
      <c r="C561" s="164"/>
      <c r="D561" s="166"/>
      <c r="E561" s="163">
        <f t="shared" ref="E561:T561" si="147">SUBTOTAL(9,E509:E560)</f>
        <v>7</v>
      </c>
      <c r="F561" s="105">
        <f t="shared" si="147"/>
        <v>4</v>
      </c>
      <c r="G561" s="105">
        <f t="shared" si="147"/>
        <v>0</v>
      </c>
      <c r="H561" s="105">
        <f t="shared" si="147"/>
        <v>52109</v>
      </c>
      <c r="I561" s="105">
        <f t="shared" si="147"/>
        <v>10144</v>
      </c>
      <c r="J561" s="105">
        <f t="shared" si="147"/>
        <v>99</v>
      </c>
      <c r="K561" s="105">
        <f t="shared" si="147"/>
        <v>8542</v>
      </c>
      <c r="L561" s="105">
        <f t="shared" si="147"/>
        <v>53</v>
      </c>
      <c r="M561" s="105">
        <f t="shared" si="147"/>
        <v>7</v>
      </c>
      <c r="N561" s="105">
        <f t="shared" si="147"/>
        <v>6</v>
      </c>
      <c r="O561" s="105">
        <f t="shared" si="147"/>
        <v>22</v>
      </c>
      <c r="P561" s="105">
        <f t="shared" si="147"/>
        <v>0</v>
      </c>
      <c r="Q561" s="105">
        <f t="shared" si="147"/>
        <v>4</v>
      </c>
      <c r="R561" s="105">
        <f t="shared" si="147"/>
        <v>15</v>
      </c>
      <c r="S561" s="105">
        <f t="shared" si="147"/>
        <v>2</v>
      </c>
      <c r="T561" s="106">
        <f t="shared" si="147"/>
        <v>1320</v>
      </c>
      <c r="U561" s="130"/>
      <c r="V561" s="1"/>
      <c r="W561" s="68">
        <f t="shared" ref="W561:AD561" si="148">SUBTOTAL(9,W509:W560)</f>
        <v>306297823.51999998</v>
      </c>
      <c r="X561" s="68">
        <f t="shared" si="148"/>
        <v>236127308.08000001</v>
      </c>
      <c r="Y561" s="68">
        <f t="shared" si="148"/>
        <v>114306328</v>
      </c>
      <c r="Z561" s="68">
        <f t="shared" si="148"/>
        <v>0</v>
      </c>
      <c r="AA561" s="68">
        <f t="shared" si="148"/>
        <v>16632693</v>
      </c>
      <c r="AB561" s="68">
        <f t="shared" si="148"/>
        <v>188824800</v>
      </c>
      <c r="AC561" s="69">
        <f t="shared" si="148"/>
        <v>862188952.60000002</v>
      </c>
      <c r="AD561" s="70">
        <f t="shared" si="148"/>
        <v>357286800</v>
      </c>
      <c r="AE561" s="63"/>
      <c r="AF561" s="72"/>
      <c r="AG561" s="63"/>
      <c r="AH561" s="23"/>
      <c r="AI561" s="60"/>
      <c r="AJ561" s="124"/>
      <c r="AK561" s="121"/>
      <c r="AL561" s="107"/>
      <c r="AM561" s="108"/>
      <c r="AN561" s="109"/>
      <c r="AO561" s="108"/>
      <c r="AP561" s="108"/>
      <c r="AQ561" s="108"/>
      <c r="AR561" s="108"/>
      <c r="AS561" s="108"/>
      <c r="AT561" s="108"/>
      <c r="AU561" s="108"/>
      <c r="AV561" s="108"/>
      <c r="AW561" s="108"/>
      <c r="AX561" s="108"/>
      <c r="AY561" s="108"/>
      <c r="AZ561" s="108"/>
      <c r="BA561" s="108"/>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8"/>
      <c r="CB561" s="108"/>
      <c r="CC561" s="108"/>
      <c r="CD561" s="108"/>
      <c r="CE561" s="108"/>
      <c r="CF561" s="108"/>
      <c r="CG561" s="108"/>
      <c r="CH561" s="108"/>
      <c r="CI561" s="108"/>
      <c r="CJ561" s="108"/>
      <c r="CK561" s="108"/>
      <c r="CL561" s="108"/>
      <c r="CM561" s="108"/>
      <c r="CN561" s="110"/>
      <c r="CO561" s="111"/>
      <c r="CP561" s="110"/>
      <c r="CQ561" s="111"/>
      <c r="CR561" s="110"/>
      <c r="CS561" s="111"/>
      <c r="CT561" s="112"/>
      <c r="CU561" s="113"/>
      <c r="CV561" s="114"/>
      <c r="CW561" s="115"/>
      <c r="CX561" s="116"/>
      <c r="CY561" s="117"/>
      <c r="CZ561" s="116"/>
      <c r="DA561" s="113"/>
      <c r="DB561" s="114"/>
      <c r="DC561" s="64"/>
      <c r="DD561" s="118"/>
    </row>
    <row r="562" spans="1:108" ht="84" outlineLevel="2">
      <c r="A562" s="178">
        <v>40284</v>
      </c>
      <c r="B562" s="82" t="s">
        <v>1142</v>
      </c>
      <c r="C562" s="82" t="s">
        <v>418</v>
      </c>
      <c r="D562" s="165" t="s">
        <v>435</v>
      </c>
      <c r="E562" s="167"/>
      <c r="F562" s="66"/>
      <c r="G562" s="66"/>
      <c r="H562" s="66">
        <f>18*5</f>
        <v>90</v>
      </c>
      <c r="I562" s="66">
        <v>18</v>
      </c>
      <c r="J562" s="66"/>
      <c r="K562" s="66">
        <v>18</v>
      </c>
      <c r="L562" s="66"/>
      <c r="M562" s="66"/>
      <c r="N562" s="66"/>
      <c r="O562" s="66"/>
      <c r="P562" s="66"/>
      <c r="Q562" s="66"/>
      <c r="R562" s="66"/>
      <c r="S562" s="66"/>
      <c r="T562" s="67"/>
      <c r="U562" s="151"/>
      <c r="V562" s="1">
        <v>40310</v>
      </c>
      <c r="W562" s="68">
        <f t="shared" ref="W562:W593" si="149">CT562</f>
        <v>0</v>
      </c>
      <c r="X562" s="68">
        <f t="shared" ref="X562:X593" si="150">CX562</f>
        <v>0</v>
      </c>
      <c r="Y562" s="68">
        <f t="shared" ref="Y562:Y576" si="151">CZ562+DB562</f>
        <v>0</v>
      </c>
      <c r="Z562" s="68">
        <f t="shared" ref="Z562:Z593" si="152">CV562</f>
        <v>0</v>
      </c>
      <c r="AA562" s="68"/>
      <c r="AB562" s="68">
        <v>100000000</v>
      </c>
      <c r="AC562" s="69">
        <f t="shared" ref="AC562:AC593" si="153">W562+X562+Y562+Z562+AA562+AB562</f>
        <v>100000000</v>
      </c>
      <c r="AD562" s="70">
        <v>0</v>
      </c>
      <c r="AE562" s="63">
        <v>40290</v>
      </c>
      <c r="AF562" s="79" t="s">
        <v>1634</v>
      </c>
      <c r="AG562" s="63" t="s">
        <v>954</v>
      </c>
      <c r="AH562" s="23" t="s">
        <v>955</v>
      </c>
      <c r="AI562" s="60">
        <v>247</v>
      </c>
      <c r="AJ562" s="133" t="s">
        <v>1633</v>
      </c>
      <c r="AK562" s="73" t="s">
        <v>1275</v>
      </c>
      <c r="AL562" s="3"/>
      <c r="AM562" s="4"/>
      <c r="AN562" s="5"/>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6"/>
      <c r="CO562" s="7"/>
      <c r="CP562" s="6"/>
      <c r="CQ562" s="7"/>
      <c r="CR562" s="6"/>
      <c r="CS562" s="7"/>
      <c r="CT562" s="8">
        <f t="shared" ref="CT562:CT593" si="154">AM562+AO562+AQ562+AS562+AU562+AW562+AY562+BA562+BC562+BE562+BG562+BI562+BK562+BM562+BO562+BQ562+BS562+BU562+BW562+BY562+CA562+CC562+CE562+CG562+CI562+CK562+CM562+CO562+CQ562+CS562</f>
        <v>0</v>
      </c>
      <c r="CU562" s="9"/>
      <c r="CV562" s="10"/>
      <c r="CW562" s="11"/>
      <c r="CX562" s="12"/>
      <c r="CY562" s="26"/>
      <c r="CZ562" s="12"/>
      <c r="DA562" s="9"/>
      <c r="DB562" s="10"/>
      <c r="DC562" s="64">
        <v>2</v>
      </c>
    </row>
    <row r="563" spans="1:108" outlineLevel="2">
      <c r="A563" s="178">
        <v>40323</v>
      </c>
      <c r="B563" s="82" t="s">
        <v>1142</v>
      </c>
      <c r="C563" s="82" t="s">
        <v>1091</v>
      </c>
      <c r="D563" s="165" t="s">
        <v>1262</v>
      </c>
      <c r="E563" s="167"/>
      <c r="F563" s="66"/>
      <c r="G563" s="66"/>
      <c r="H563" s="66">
        <v>150</v>
      </c>
      <c r="I563" s="66">
        <v>30</v>
      </c>
      <c r="J563" s="66"/>
      <c r="K563" s="66">
        <v>30</v>
      </c>
      <c r="L563" s="66"/>
      <c r="M563" s="66"/>
      <c r="N563" s="66"/>
      <c r="O563" s="66"/>
      <c r="P563" s="66"/>
      <c r="Q563" s="66"/>
      <c r="R563" s="66"/>
      <c r="S563" s="66"/>
      <c r="T563" s="67"/>
      <c r="U563" s="151"/>
      <c r="V563" s="1"/>
      <c r="W563" s="68">
        <f t="shared" si="149"/>
        <v>0</v>
      </c>
      <c r="X563" s="68">
        <f t="shared" si="150"/>
        <v>0</v>
      </c>
      <c r="Y563" s="68">
        <f t="shared" si="151"/>
        <v>0</v>
      </c>
      <c r="Z563" s="68">
        <f t="shared" si="152"/>
        <v>0</v>
      </c>
      <c r="AA563" s="68"/>
      <c r="AB563" s="68">
        <v>0</v>
      </c>
      <c r="AC563" s="69">
        <f t="shared" si="153"/>
        <v>0</v>
      </c>
      <c r="AD563" s="70">
        <v>0</v>
      </c>
      <c r="AE563" s="63">
        <v>40326</v>
      </c>
      <c r="AF563" s="72"/>
      <c r="AG563" s="63" t="s">
        <v>938</v>
      </c>
      <c r="AH563" s="23" t="s">
        <v>939</v>
      </c>
      <c r="AI563" s="60"/>
      <c r="AJ563" s="133" t="s">
        <v>1608</v>
      </c>
      <c r="AK563" s="73" t="s">
        <v>1092</v>
      </c>
      <c r="AL563" s="3"/>
      <c r="AM563" s="4"/>
      <c r="AN563" s="5"/>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6"/>
      <c r="CO563" s="7"/>
      <c r="CP563" s="6"/>
      <c r="CQ563" s="7"/>
      <c r="CR563" s="6"/>
      <c r="CS563" s="7"/>
      <c r="CT563" s="8">
        <f t="shared" si="154"/>
        <v>0</v>
      </c>
      <c r="CU563" s="9"/>
      <c r="CV563" s="10"/>
      <c r="CW563" s="11"/>
      <c r="CX563" s="12"/>
      <c r="CY563" s="26"/>
      <c r="CZ563" s="12"/>
      <c r="DA563" s="9"/>
      <c r="DB563" s="10"/>
      <c r="DC563" s="64"/>
    </row>
    <row r="564" spans="1:108" ht="24" outlineLevel="2">
      <c r="A564" s="178">
        <v>40323</v>
      </c>
      <c r="B564" s="82" t="s">
        <v>1142</v>
      </c>
      <c r="C564" s="82" t="s">
        <v>1143</v>
      </c>
      <c r="D564" s="165" t="s">
        <v>1262</v>
      </c>
      <c r="E564" s="167"/>
      <c r="F564" s="66"/>
      <c r="G564" s="66"/>
      <c r="H564" s="66">
        <v>500</v>
      </c>
      <c r="I564" s="66">
        <v>100</v>
      </c>
      <c r="J564" s="66"/>
      <c r="K564" s="66">
        <v>100</v>
      </c>
      <c r="L564" s="66"/>
      <c r="M564" s="66"/>
      <c r="N564" s="66"/>
      <c r="O564" s="66"/>
      <c r="P564" s="66"/>
      <c r="Q564" s="66"/>
      <c r="R564" s="66"/>
      <c r="S564" s="66"/>
      <c r="T564" s="67"/>
      <c r="U564" s="151"/>
      <c r="V564" s="1">
        <v>40452</v>
      </c>
      <c r="W564" s="68">
        <f t="shared" si="149"/>
        <v>5400000</v>
      </c>
      <c r="X564" s="68">
        <f t="shared" si="150"/>
        <v>8500000</v>
      </c>
      <c r="Y564" s="68">
        <f t="shared" si="151"/>
        <v>0</v>
      </c>
      <c r="Z564" s="68">
        <f t="shared" si="152"/>
        <v>0</v>
      </c>
      <c r="AA564" s="68"/>
      <c r="AB564" s="68">
        <v>0</v>
      </c>
      <c r="AC564" s="69">
        <f t="shared" si="153"/>
        <v>13900000</v>
      </c>
      <c r="AD564" s="70">
        <v>0</v>
      </c>
      <c r="AE564" s="63">
        <v>40326</v>
      </c>
      <c r="AF564" s="72">
        <v>50562</v>
      </c>
      <c r="AG564" s="63" t="s">
        <v>954</v>
      </c>
      <c r="AH564" s="23" t="s">
        <v>955</v>
      </c>
      <c r="AI564" s="60">
        <v>20729</v>
      </c>
      <c r="AJ564" s="124" t="s">
        <v>1330</v>
      </c>
      <c r="AK564" s="73" t="s">
        <v>1093</v>
      </c>
      <c r="AL564" s="3"/>
      <c r="AM564" s="4"/>
      <c r="AN564" s="5"/>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v>100</v>
      </c>
      <c r="CM564" s="4">
        <f>100*18000</f>
        <v>1800000</v>
      </c>
      <c r="CN564" s="6"/>
      <c r="CO564" s="7"/>
      <c r="CP564" s="6">
        <v>100</v>
      </c>
      <c r="CQ564" s="7">
        <f>100*36000</f>
        <v>3600000</v>
      </c>
      <c r="CR564" s="6"/>
      <c r="CS564" s="7"/>
      <c r="CT564" s="8">
        <f t="shared" si="154"/>
        <v>5400000</v>
      </c>
      <c r="CU564" s="9"/>
      <c r="CV564" s="10"/>
      <c r="CW564" s="11">
        <v>100</v>
      </c>
      <c r="CX564" s="12">
        <f>100*85000</f>
        <v>8500000</v>
      </c>
      <c r="CY564" s="26"/>
      <c r="CZ564" s="12"/>
      <c r="DA564" s="9"/>
      <c r="DB564" s="10"/>
      <c r="DC564" s="64"/>
    </row>
    <row r="565" spans="1:108" ht="36" outlineLevel="2">
      <c r="A565" s="178">
        <v>40325</v>
      </c>
      <c r="B565" s="82" t="s">
        <v>1142</v>
      </c>
      <c r="C565" s="82" t="s">
        <v>1588</v>
      </c>
      <c r="D565" s="165" t="s">
        <v>1262</v>
      </c>
      <c r="E565" s="167"/>
      <c r="F565" s="66"/>
      <c r="G565" s="66"/>
      <c r="H565" s="66">
        <v>5300</v>
      </c>
      <c r="I565" s="66">
        <v>1639</v>
      </c>
      <c r="J565" s="66"/>
      <c r="K565" s="66">
        <v>1639</v>
      </c>
      <c r="L565" s="66"/>
      <c r="M565" s="66"/>
      <c r="N565" s="66"/>
      <c r="O565" s="66"/>
      <c r="P565" s="66"/>
      <c r="Q565" s="66"/>
      <c r="R565" s="66"/>
      <c r="S565" s="66"/>
      <c r="T565" s="67"/>
      <c r="U565" s="151"/>
      <c r="V565" s="1"/>
      <c r="W565" s="68">
        <f t="shared" si="149"/>
        <v>0</v>
      </c>
      <c r="X565" s="68">
        <f t="shared" si="150"/>
        <v>0</v>
      </c>
      <c r="Y565" s="68">
        <f t="shared" si="151"/>
        <v>0</v>
      </c>
      <c r="Z565" s="68">
        <f t="shared" si="152"/>
        <v>0</v>
      </c>
      <c r="AA565" s="68"/>
      <c r="AB565" s="68">
        <v>0</v>
      </c>
      <c r="AC565" s="69">
        <f t="shared" si="153"/>
        <v>0</v>
      </c>
      <c r="AD565" s="70">
        <v>0</v>
      </c>
      <c r="AE565" s="63">
        <v>40326</v>
      </c>
      <c r="AF565" s="72"/>
      <c r="AG565" s="63" t="s">
        <v>938</v>
      </c>
      <c r="AH565" s="23" t="s">
        <v>939</v>
      </c>
      <c r="AI565" s="60"/>
      <c r="AJ565" s="133" t="s">
        <v>2270</v>
      </c>
      <c r="AK565" s="73" t="s">
        <v>1729</v>
      </c>
      <c r="AL565" s="3"/>
      <c r="AM565" s="4"/>
      <c r="AN565" s="5"/>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6"/>
      <c r="CO565" s="7"/>
      <c r="CP565" s="6"/>
      <c r="CQ565" s="7"/>
      <c r="CR565" s="6"/>
      <c r="CS565" s="7"/>
      <c r="CT565" s="8">
        <f t="shared" si="154"/>
        <v>0</v>
      </c>
      <c r="CU565" s="9"/>
      <c r="CV565" s="10"/>
      <c r="CW565" s="11"/>
      <c r="CX565" s="12"/>
      <c r="CY565" s="26"/>
      <c r="CZ565" s="12"/>
      <c r="DA565" s="9"/>
      <c r="DB565" s="10"/>
      <c r="DC565" s="64"/>
    </row>
    <row r="566" spans="1:108" outlineLevel="2">
      <c r="A566" s="178">
        <v>40326</v>
      </c>
      <c r="B566" s="82" t="s">
        <v>1142</v>
      </c>
      <c r="C566" s="82" t="s">
        <v>1910</v>
      </c>
      <c r="D566" s="165" t="s">
        <v>435</v>
      </c>
      <c r="E566" s="167"/>
      <c r="F566" s="66"/>
      <c r="G566" s="66"/>
      <c r="H566" s="66"/>
      <c r="I566" s="66"/>
      <c r="J566" s="66"/>
      <c r="K566" s="66"/>
      <c r="L566" s="66"/>
      <c r="M566" s="66"/>
      <c r="N566" s="66"/>
      <c r="O566" s="66"/>
      <c r="P566" s="66"/>
      <c r="Q566" s="66"/>
      <c r="R566" s="66"/>
      <c r="S566" s="66"/>
      <c r="T566" s="67"/>
      <c r="U566" s="151"/>
      <c r="V566" s="1"/>
      <c r="W566" s="68">
        <f t="shared" si="149"/>
        <v>0</v>
      </c>
      <c r="X566" s="68">
        <f t="shared" si="150"/>
        <v>0</v>
      </c>
      <c r="Y566" s="68">
        <f t="shared" si="151"/>
        <v>0</v>
      </c>
      <c r="Z566" s="68">
        <f t="shared" si="152"/>
        <v>0</v>
      </c>
      <c r="AA566" s="68"/>
      <c r="AB566" s="68">
        <v>0</v>
      </c>
      <c r="AC566" s="69">
        <f t="shared" si="153"/>
        <v>0</v>
      </c>
      <c r="AD566" s="70">
        <v>0</v>
      </c>
      <c r="AE566" s="1">
        <v>40329</v>
      </c>
      <c r="AF566" s="72"/>
      <c r="AG566" s="63" t="s">
        <v>938</v>
      </c>
      <c r="AH566" s="23" t="s">
        <v>939</v>
      </c>
      <c r="AI566" s="60"/>
      <c r="AJ566" s="133" t="s">
        <v>1608</v>
      </c>
      <c r="AK566" s="73" t="s">
        <v>1911</v>
      </c>
      <c r="AL566" s="3"/>
      <c r="AM566" s="4"/>
      <c r="AN566" s="5"/>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6"/>
      <c r="CO566" s="7"/>
      <c r="CP566" s="6"/>
      <c r="CQ566" s="7"/>
      <c r="CR566" s="6"/>
      <c r="CS566" s="7"/>
      <c r="CT566" s="8">
        <f t="shared" si="154"/>
        <v>0</v>
      </c>
      <c r="CU566" s="9"/>
      <c r="CV566" s="10"/>
      <c r="CW566" s="11"/>
      <c r="CX566" s="12"/>
      <c r="CY566" s="26"/>
      <c r="CZ566" s="12"/>
      <c r="DA566" s="9"/>
      <c r="DB566" s="10"/>
      <c r="DC566" s="64"/>
    </row>
    <row r="567" spans="1:108" ht="24" outlineLevel="2">
      <c r="A567" s="178">
        <v>40326</v>
      </c>
      <c r="B567" s="82" t="s">
        <v>1142</v>
      </c>
      <c r="C567" s="82" t="s">
        <v>1910</v>
      </c>
      <c r="D567" s="165" t="s">
        <v>1262</v>
      </c>
      <c r="E567" s="167"/>
      <c r="F567" s="66"/>
      <c r="G567" s="66"/>
      <c r="H567" s="66"/>
      <c r="I567" s="66"/>
      <c r="J567" s="66"/>
      <c r="K567" s="66"/>
      <c r="L567" s="66"/>
      <c r="M567" s="66"/>
      <c r="N567" s="66"/>
      <c r="O567" s="66"/>
      <c r="P567" s="66"/>
      <c r="Q567" s="66"/>
      <c r="R567" s="66"/>
      <c r="S567" s="66"/>
      <c r="T567" s="67"/>
      <c r="U567" s="151"/>
      <c r="V567" s="1"/>
      <c r="W567" s="68">
        <f t="shared" si="149"/>
        <v>0</v>
      </c>
      <c r="X567" s="68">
        <f t="shared" si="150"/>
        <v>0</v>
      </c>
      <c r="Y567" s="68">
        <f t="shared" si="151"/>
        <v>0</v>
      </c>
      <c r="Z567" s="68">
        <f t="shared" si="152"/>
        <v>0</v>
      </c>
      <c r="AA567" s="68"/>
      <c r="AB567" s="68">
        <v>0</v>
      </c>
      <c r="AC567" s="69">
        <f t="shared" si="153"/>
        <v>0</v>
      </c>
      <c r="AD567" s="70">
        <v>0</v>
      </c>
      <c r="AE567" s="1">
        <v>40329</v>
      </c>
      <c r="AF567" s="72"/>
      <c r="AG567" s="63" t="s">
        <v>938</v>
      </c>
      <c r="AH567" s="23" t="s">
        <v>939</v>
      </c>
      <c r="AI567" s="60"/>
      <c r="AJ567" s="133" t="s">
        <v>1608</v>
      </c>
      <c r="AK567" s="73" t="s">
        <v>1912</v>
      </c>
      <c r="AL567" s="3"/>
      <c r="AM567" s="4"/>
      <c r="AN567" s="5"/>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6"/>
      <c r="CO567" s="7"/>
      <c r="CP567" s="6"/>
      <c r="CQ567" s="7"/>
      <c r="CR567" s="6"/>
      <c r="CS567" s="7"/>
      <c r="CT567" s="8">
        <f t="shared" si="154"/>
        <v>0</v>
      </c>
      <c r="CU567" s="9"/>
      <c r="CV567" s="10"/>
      <c r="CW567" s="11"/>
      <c r="CX567" s="12"/>
      <c r="CY567" s="26"/>
      <c r="CZ567" s="12"/>
      <c r="DA567" s="9"/>
      <c r="DB567" s="10"/>
      <c r="DC567" s="64"/>
    </row>
    <row r="568" spans="1:108" ht="24" outlineLevel="2">
      <c r="A568" s="178">
        <v>40335</v>
      </c>
      <c r="B568" s="164" t="s">
        <v>1142</v>
      </c>
      <c r="C568" s="164" t="s">
        <v>2267</v>
      </c>
      <c r="D568" s="165" t="s">
        <v>1182</v>
      </c>
      <c r="E568" s="163"/>
      <c r="F568" s="105"/>
      <c r="G568" s="105"/>
      <c r="H568" s="105"/>
      <c r="I568" s="105"/>
      <c r="J568" s="105"/>
      <c r="K568" s="105"/>
      <c r="L568" s="105">
        <v>1</v>
      </c>
      <c r="M568" s="105"/>
      <c r="N568" s="105"/>
      <c r="O568" s="105"/>
      <c r="P568" s="105"/>
      <c r="Q568" s="105"/>
      <c r="R568" s="105"/>
      <c r="S568" s="105"/>
      <c r="T568" s="106"/>
      <c r="U568" s="130" t="s">
        <v>1676</v>
      </c>
      <c r="V568" s="1"/>
      <c r="W568" s="68">
        <f t="shared" si="149"/>
        <v>0</v>
      </c>
      <c r="X568" s="68">
        <f t="shared" si="150"/>
        <v>0</v>
      </c>
      <c r="Y568" s="68">
        <f t="shared" si="151"/>
        <v>0</v>
      </c>
      <c r="Z568" s="68">
        <f t="shared" si="152"/>
        <v>0</v>
      </c>
      <c r="AA568" s="68"/>
      <c r="AB568" s="68">
        <v>0</v>
      </c>
      <c r="AC568" s="69">
        <f t="shared" si="153"/>
        <v>0</v>
      </c>
      <c r="AD568" s="70">
        <v>0</v>
      </c>
      <c r="AE568" s="1">
        <v>40484</v>
      </c>
      <c r="AF568" s="72"/>
      <c r="AG568" s="63" t="s">
        <v>938</v>
      </c>
      <c r="AH568" s="23" t="s">
        <v>939</v>
      </c>
      <c r="AI568" s="83"/>
      <c r="AJ568" s="124" t="s">
        <v>1608</v>
      </c>
      <c r="AK568" s="121" t="s">
        <v>1011</v>
      </c>
      <c r="AL568" s="107"/>
      <c r="AM568" s="108"/>
      <c r="AN568" s="109"/>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c r="BU568" s="108"/>
      <c r="BV568" s="108"/>
      <c r="BW568" s="108"/>
      <c r="BX568" s="108"/>
      <c r="BY568" s="108"/>
      <c r="BZ568" s="108"/>
      <c r="CA568" s="108"/>
      <c r="CB568" s="108"/>
      <c r="CC568" s="108"/>
      <c r="CD568" s="108"/>
      <c r="CE568" s="108"/>
      <c r="CF568" s="108"/>
      <c r="CG568" s="108"/>
      <c r="CH568" s="108"/>
      <c r="CI568" s="108"/>
      <c r="CJ568" s="108"/>
      <c r="CK568" s="108"/>
      <c r="CL568" s="108"/>
      <c r="CM568" s="108"/>
      <c r="CN568" s="110"/>
      <c r="CO568" s="111"/>
      <c r="CP568" s="110"/>
      <c r="CQ568" s="111"/>
      <c r="CR568" s="110"/>
      <c r="CS568" s="111"/>
      <c r="CT568" s="112">
        <f t="shared" si="154"/>
        <v>0</v>
      </c>
      <c r="CU568" s="113"/>
      <c r="CV568" s="114"/>
      <c r="CW568" s="115"/>
      <c r="CX568" s="116"/>
      <c r="CY568" s="117"/>
      <c r="CZ568" s="116"/>
      <c r="DA568" s="113"/>
      <c r="DB568" s="114"/>
      <c r="DC568" s="64"/>
      <c r="DD568" s="118"/>
    </row>
    <row r="569" spans="1:108" ht="24" outlineLevel="2">
      <c r="A569" s="178">
        <v>40336</v>
      </c>
      <c r="B569" s="82" t="s">
        <v>1142</v>
      </c>
      <c r="C569" s="82" t="s">
        <v>1910</v>
      </c>
      <c r="D569" s="165" t="s">
        <v>1200</v>
      </c>
      <c r="E569" s="167">
        <v>4</v>
      </c>
      <c r="F569" s="66">
        <v>1</v>
      </c>
      <c r="G569" s="66"/>
      <c r="H569" s="66"/>
      <c r="I569" s="66"/>
      <c r="J569" s="66"/>
      <c r="K569" s="66"/>
      <c r="L569" s="66"/>
      <c r="M569" s="66"/>
      <c r="N569" s="66"/>
      <c r="O569" s="66"/>
      <c r="P569" s="66"/>
      <c r="Q569" s="66"/>
      <c r="R569" s="66"/>
      <c r="S569" s="66"/>
      <c r="T569" s="67"/>
      <c r="U569" s="151"/>
      <c r="V569" s="1"/>
      <c r="W569" s="68">
        <f t="shared" si="149"/>
        <v>0</v>
      </c>
      <c r="X569" s="68">
        <f t="shared" si="150"/>
        <v>0</v>
      </c>
      <c r="Y569" s="68">
        <f t="shared" si="151"/>
        <v>0</v>
      </c>
      <c r="Z569" s="68">
        <f t="shared" si="152"/>
        <v>0</v>
      </c>
      <c r="AA569" s="68"/>
      <c r="AB569" s="68">
        <v>0</v>
      </c>
      <c r="AC569" s="69">
        <f t="shared" si="153"/>
        <v>0</v>
      </c>
      <c r="AD569" s="70">
        <v>0</v>
      </c>
      <c r="AE569" s="1">
        <v>40338</v>
      </c>
      <c r="AF569" s="72"/>
      <c r="AG569" s="63" t="s">
        <v>938</v>
      </c>
      <c r="AH569" s="23" t="s">
        <v>939</v>
      </c>
      <c r="AI569" s="60"/>
      <c r="AJ569" s="133" t="s">
        <v>1608</v>
      </c>
      <c r="AK569" s="73" t="s">
        <v>885</v>
      </c>
      <c r="AL569" s="3"/>
      <c r="AM569" s="4"/>
      <c r="AN569" s="5"/>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6"/>
      <c r="CO569" s="7"/>
      <c r="CP569" s="6"/>
      <c r="CQ569" s="7"/>
      <c r="CR569" s="6"/>
      <c r="CS569" s="7"/>
      <c r="CT569" s="8">
        <f t="shared" si="154"/>
        <v>0</v>
      </c>
      <c r="CU569" s="9"/>
      <c r="CV569" s="10"/>
      <c r="CW569" s="11"/>
      <c r="CX569" s="12"/>
      <c r="CY569" s="26"/>
      <c r="CZ569" s="12"/>
      <c r="DA569" s="9"/>
      <c r="DB569" s="10"/>
      <c r="DC569" s="64"/>
    </row>
    <row r="570" spans="1:108" ht="22.5" outlineLevel="2">
      <c r="A570" s="178">
        <v>40349</v>
      </c>
      <c r="B570" s="164" t="s">
        <v>1142</v>
      </c>
      <c r="C570" s="164" t="s">
        <v>1007</v>
      </c>
      <c r="D570" s="166" t="s">
        <v>435</v>
      </c>
      <c r="E570" s="163"/>
      <c r="F570" s="105"/>
      <c r="G570" s="105"/>
      <c r="H570" s="105">
        <f>93*5</f>
        <v>465</v>
      </c>
      <c r="I570" s="105">
        <v>93</v>
      </c>
      <c r="J570" s="105"/>
      <c r="K570" s="105">
        <v>20</v>
      </c>
      <c r="L570" s="105"/>
      <c r="M570" s="105"/>
      <c r="N570" s="105"/>
      <c r="O570" s="105"/>
      <c r="P570" s="105"/>
      <c r="Q570" s="105"/>
      <c r="R570" s="105"/>
      <c r="S570" s="105"/>
      <c r="T570" s="106"/>
      <c r="U570" s="130"/>
      <c r="V570" s="1"/>
      <c r="W570" s="68">
        <f t="shared" si="149"/>
        <v>0</v>
      </c>
      <c r="X570" s="68">
        <f t="shared" si="150"/>
        <v>0</v>
      </c>
      <c r="Y570" s="68">
        <f t="shared" si="151"/>
        <v>0</v>
      </c>
      <c r="Z570" s="68">
        <f t="shared" si="152"/>
        <v>0</v>
      </c>
      <c r="AA570" s="68"/>
      <c r="AB570" s="68">
        <v>0</v>
      </c>
      <c r="AC570" s="69">
        <f t="shared" si="153"/>
        <v>0</v>
      </c>
      <c r="AD570" s="70">
        <v>0</v>
      </c>
      <c r="AE570" s="1">
        <v>40484</v>
      </c>
      <c r="AF570" s="72"/>
      <c r="AG570" s="63" t="s">
        <v>938</v>
      </c>
      <c r="AH570" s="23" t="s">
        <v>939</v>
      </c>
      <c r="AI570" s="83"/>
      <c r="AJ570" s="124" t="s">
        <v>1608</v>
      </c>
      <c r="AK570" s="121" t="s">
        <v>1612</v>
      </c>
      <c r="AL570" s="107"/>
      <c r="AM570" s="108"/>
      <c r="AN570" s="109"/>
      <c r="AO570" s="108"/>
      <c r="AP570" s="108"/>
      <c r="AQ570" s="108"/>
      <c r="AR570" s="108"/>
      <c r="AS570" s="108"/>
      <c r="AT570" s="108"/>
      <c r="AU570" s="108"/>
      <c r="AV570" s="108"/>
      <c r="AW570" s="108"/>
      <c r="AX570" s="108"/>
      <c r="AY570" s="108"/>
      <c r="AZ570" s="108"/>
      <c r="BA570" s="108"/>
      <c r="BB570" s="108"/>
      <c r="BC570" s="108"/>
      <c r="BD570" s="108"/>
      <c r="BE570" s="108"/>
      <c r="BF570" s="108"/>
      <c r="BG570" s="108"/>
      <c r="BH570" s="108"/>
      <c r="BI570" s="108"/>
      <c r="BJ570" s="108"/>
      <c r="BK570" s="108"/>
      <c r="BL570" s="108"/>
      <c r="BM570" s="108"/>
      <c r="BN570" s="108"/>
      <c r="BO570" s="108"/>
      <c r="BP570" s="108"/>
      <c r="BQ570" s="108"/>
      <c r="BR570" s="108"/>
      <c r="BS570" s="108"/>
      <c r="BT570" s="108"/>
      <c r="BU570" s="108"/>
      <c r="BV570" s="108"/>
      <c r="BW570" s="108"/>
      <c r="BX570" s="108"/>
      <c r="BY570" s="108"/>
      <c r="BZ570" s="108"/>
      <c r="CA570" s="108"/>
      <c r="CB570" s="108"/>
      <c r="CC570" s="108"/>
      <c r="CD570" s="108"/>
      <c r="CE570" s="108"/>
      <c r="CF570" s="108"/>
      <c r="CG570" s="108"/>
      <c r="CH570" s="108"/>
      <c r="CI570" s="108"/>
      <c r="CJ570" s="108"/>
      <c r="CK570" s="108"/>
      <c r="CL570" s="108"/>
      <c r="CM570" s="108"/>
      <c r="CN570" s="110"/>
      <c r="CO570" s="111"/>
      <c r="CP570" s="110"/>
      <c r="CQ570" s="111"/>
      <c r="CR570" s="110"/>
      <c r="CS570" s="111"/>
      <c r="CT570" s="112">
        <f t="shared" si="154"/>
        <v>0</v>
      </c>
      <c r="CU570" s="113"/>
      <c r="CV570" s="114"/>
      <c r="CW570" s="115"/>
      <c r="CX570" s="116"/>
      <c r="CY570" s="117"/>
      <c r="CZ570" s="116"/>
      <c r="DA570" s="113"/>
      <c r="DB570" s="114"/>
      <c r="DC570" s="64"/>
      <c r="DD570" s="118"/>
    </row>
    <row r="571" spans="1:108" ht="24" outlineLevel="2">
      <c r="A571" s="178">
        <v>40349</v>
      </c>
      <c r="B571" s="82" t="s">
        <v>1142</v>
      </c>
      <c r="C571" s="82" t="s">
        <v>1918</v>
      </c>
      <c r="D571" s="165" t="s">
        <v>1262</v>
      </c>
      <c r="E571" s="167"/>
      <c r="F571" s="66"/>
      <c r="G571" s="66"/>
      <c r="H571" s="66">
        <v>140</v>
      </c>
      <c r="I571" s="66">
        <v>28</v>
      </c>
      <c r="J571" s="66"/>
      <c r="K571" s="66">
        <v>1</v>
      </c>
      <c r="L571" s="66"/>
      <c r="M571" s="66"/>
      <c r="N571" s="66"/>
      <c r="O571" s="66"/>
      <c r="P571" s="66"/>
      <c r="Q571" s="66"/>
      <c r="R571" s="66"/>
      <c r="S571" s="66"/>
      <c r="T571" s="67"/>
      <c r="U571" s="151"/>
      <c r="V571" s="1"/>
      <c r="W571" s="68">
        <f t="shared" si="149"/>
        <v>0</v>
      </c>
      <c r="X571" s="68">
        <f t="shared" si="150"/>
        <v>0</v>
      </c>
      <c r="Y571" s="68">
        <f t="shared" si="151"/>
        <v>0</v>
      </c>
      <c r="Z571" s="68">
        <f t="shared" si="152"/>
        <v>0</v>
      </c>
      <c r="AA571" s="68"/>
      <c r="AB571" s="68">
        <v>0</v>
      </c>
      <c r="AC571" s="69">
        <f t="shared" si="153"/>
        <v>0</v>
      </c>
      <c r="AD571" s="70">
        <v>0</v>
      </c>
      <c r="AE571" s="63">
        <v>40352</v>
      </c>
      <c r="AF571" s="72"/>
      <c r="AG571" s="63" t="s">
        <v>938</v>
      </c>
      <c r="AH571" s="23" t="s">
        <v>939</v>
      </c>
      <c r="AI571" s="60"/>
      <c r="AJ571" s="133" t="s">
        <v>1608</v>
      </c>
      <c r="AK571" s="73" t="s">
        <v>1862</v>
      </c>
      <c r="AL571" s="3"/>
      <c r="AM571" s="4"/>
      <c r="AN571" s="5"/>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6"/>
      <c r="CO571" s="7"/>
      <c r="CP571" s="6"/>
      <c r="CQ571" s="7"/>
      <c r="CR571" s="6"/>
      <c r="CS571" s="7"/>
      <c r="CT571" s="8">
        <f t="shared" si="154"/>
        <v>0</v>
      </c>
      <c r="CU571" s="9"/>
      <c r="CV571" s="10"/>
      <c r="CW571" s="11"/>
      <c r="CX571" s="12"/>
      <c r="CY571" s="26"/>
      <c r="CZ571" s="12"/>
      <c r="DA571" s="9"/>
      <c r="DB571" s="10"/>
      <c r="DC571" s="64"/>
    </row>
    <row r="572" spans="1:108" ht="36" outlineLevel="2">
      <c r="A572" s="178">
        <v>40356</v>
      </c>
      <c r="B572" s="82" t="s">
        <v>1142</v>
      </c>
      <c r="C572" s="82" t="s">
        <v>579</v>
      </c>
      <c r="D572" s="165" t="s">
        <v>944</v>
      </c>
      <c r="E572" s="167">
        <v>1</v>
      </c>
      <c r="F572" s="66"/>
      <c r="G572" s="66"/>
      <c r="H572" s="66"/>
      <c r="I572" s="66"/>
      <c r="J572" s="66"/>
      <c r="K572" s="66"/>
      <c r="L572" s="66"/>
      <c r="M572" s="66"/>
      <c r="N572" s="66"/>
      <c r="O572" s="66"/>
      <c r="P572" s="66"/>
      <c r="Q572" s="66"/>
      <c r="R572" s="66"/>
      <c r="S572" s="66"/>
      <c r="T572" s="67"/>
      <c r="U572" s="151"/>
      <c r="V572" s="1"/>
      <c r="W572" s="68">
        <f t="shared" si="149"/>
        <v>0</v>
      </c>
      <c r="X572" s="68">
        <f t="shared" si="150"/>
        <v>0</v>
      </c>
      <c r="Y572" s="68">
        <f t="shared" si="151"/>
        <v>0</v>
      </c>
      <c r="Z572" s="68">
        <f t="shared" si="152"/>
        <v>0</v>
      </c>
      <c r="AA572" s="68"/>
      <c r="AB572" s="68">
        <v>0</v>
      </c>
      <c r="AC572" s="69">
        <f t="shared" si="153"/>
        <v>0</v>
      </c>
      <c r="AD572" s="70">
        <v>0</v>
      </c>
      <c r="AE572" s="63">
        <v>40357</v>
      </c>
      <c r="AF572" s="72"/>
      <c r="AG572" s="63" t="s">
        <v>938</v>
      </c>
      <c r="AH572" s="23" t="s">
        <v>939</v>
      </c>
      <c r="AI572" s="60"/>
      <c r="AJ572" s="133" t="s">
        <v>1608</v>
      </c>
      <c r="AK572" s="73" t="s">
        <v>1472</v>
      </c>
      <c r="AL572" s="3"/>
      <c r="AM572" s="4"/>
      <c r="AN572" s="5"/>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6"/>
      <c r="CO572" s="7"/>
      <c r="CP572" s="6"/>
      <c r="CQ572" s="7"/>
      <c r="CR572" s="6"/>
      <c r="CS572" s="7"/>
      <c r="CT572" s="8">
        <f t="shared" si="154"/>
        <v>0</v>
      </c>
      <c r="CU572" s="9"/>
      <c r="CV572" s="10"/>
      <c r="CW572" s="11"/>
      <c r="CX572" s="12"/>
      <c r="CY572" s="26"/>
      <c r="CZ572" s="12"/>
      <c r="DA572" s="9"/>
      <c r="DB572" s="10"/>
      <c r="DC572" s="64"/>
    </row>
    <row r="573" spans="1:108" ht="36" outlineLevel="2">
      <c r="A573" s="178">
        <v>40366</v>
      </c>
      <c r="B573" s="82" t="s">
        <v>1142</v>
      </c>
      <c r="C573" s="82" t="s">
        <v>1910</v>
      </c>
      <c r="D573" s="165" t="s">
        <v>1262</v>
      </c>
      <c r="E573" s="167"/>
      <c r="F573" s="66"/>
      <c r="G573" s="66"/>
      <c r="H573" s="66">
        <v>2500</v>
      </c>
      <c r="I573" s="66">
        <v>500</v>
      </c>
      <c r="J573" s="66"/>
      <c r="K573" s="66">
        <v>500</v>
      </c>
      <c r="L573" s="66"/>
      <c r="M573" s="66"/>
      <c r="N573" s="66"/>
      <c r="O573" s="66"/>
      <c r="P573" s="66"/>
      <c r="Q573" s="66"/>
      <c r="R573" s="66"/>
      <c r="S573" s="66"/>
      <c r="T573" s="67"/>
      <c r="U573" s="151" t="s">
        <v>1884</v>
      </c>
      <c r="V573" s="1">
        <v>40389</v>
      </c>
      <c r="W573" s="68">
        <f t="shared" si="149"/>
        <v>73476000</v>
      </c>
      <c r="X573" s="68">
        <f t="shared" si="150"/>
        <v>42500000</v>
      </c>
      <c r="Y573" s="68">
        <f t="shared" si="151"/>
        <v>0</v>
      </c>
      <c r="Z573" s="68">
        <f t="shared" si="152"/>
        <v>0</v>
      </c>
      <c r="AA573" s="68"/>
      <c r="AB573" s="68">
        <v>0</v>
      </c>
      <c r="AC573" s="69">
        <f t="shared" si="153"/>
        <v>115976000</v>
      </c>
      <c r="AD573" s="70">
        <v>0</v>
      </c>
      <c r="AE573" s="63">
        <v>40368</v>
      </c>
      <c r="AF573" s="72">
        <v>33531</v>
      </c>
      <c r="AG573" s="63" t="s">
        <v>954</v>
      </c>
      <c r="AH573" s="23" t="s">
        <v>955</v>
      </c>
      <c r="AI573" s="60">
        <v>226</v>
      </c>
      <c r="AJ573" s="133" t="s">
        <v>1476</v>
      </c>
      <c r="AK573" s="73" t="s">
        <v>1885</v>
      </c>
      <c r="AL573" s="3"/>
      <c r="AM573" s="4"/>
      <c r="AN573" s="5"/>
      <c r="AO573" s="4"/>
      <c r="AP573" s="4"/>
      <c r="AQ573" s="4"/>
      <c r="AR573" s="4"/>
      <c r="AS573" s="4"/>
      <c r="AT573" s="4"/>
      <c r="AU573" s="4"/>
      <c r="AV573" s="4"/>
      <c r="AW573" s="4"/>
      <c r="AX573" s="4">
        <v>500</v>
      </c>
      <c r="AY573" s="4">
        <f>500*56000</f>
        <v>28000000</v>
      </c>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v>500</v>
      </c>
      <c r="CI573" s="4">
        <f>500*18000</f>
        <v>9000000</v>
      </c>
      <c r="CJ573" s="4"/>
      <c r="CK573" s="4"/>
      <c r="CL573" s="4"/>
      <c r="CM573" s="4"/>
      <c r="CN573" s="6">
        <v>500</v>
      </c>
      <c r="CO573" s="7">
        <f>500*36952</f>
        <v>18476000</v>
      </c>
      <c r="CP573" s="6">
        <v>500</v>
      </c>
      <c r="CQ573" s="7">
        <f>500*36000</f>
        <v>18000000</v>
      </c>
      <c r="CR573" s="6"/>
      <c r="CS573" s="7"/>
      <c r="CT573" s="8">
        <f t="shared" si="154"/>
        <v>73476000</v>
      </c>
      <c r="CU573" s="9"/>
      <c r="CV573" s="10"/>
      <c r="CW573" s="11">
        <v>500</v>
      </c>
      <c r="CX573" s="12">
        <f>500*85000</f>
        <v>42500000</v>
      </c>
      <c r="CY573" s="26"/>
      <c r="CZ573" s="12"/>
      <c r="DA573" s="9"/>
      <c r="DB573" s="10"/>
      <c r="DC573" s="64"/>
    </row>
    <row r="574" spans="1:108" ht="36" outlineLevel="2">
      <c r="A574" s="178">
        <v>40367</v>
      </c>
      <c r="B574" s="82" t="s">
        <v>1142</v>
      </c>
      <c r="C574" s="82" t="s">
        <v>807</v>
      </c>
      <c r="D574" s="165" t="s">
        <v>1262</v>
      </c>
      <c r="E574" s="167"/>
      <c r="F574" s="66"/>
      <c r="G574" s="66"/>
      <c r="H574" s="66">
        <f>27*5</f>
        <v>135</v>
      </c>
      <c r="I574" s="66">
        <v>27</v>
      </c>
      <c r="J574" s="66"/>
      <c r="K574" s="66">
        <v>27</v>
      </c>
      <c r="L574" s="66"/>
      <c r="M574" s="66"/>
      <c r="N574" s="66"/>
      <c r="O574" s="66"/>
      <c r="P574" s="66"/>
      <c r="Q574" s="66"/>
      <c r="R574" s="66"/>
      <c r="S574" s="66"/>
      <c r="T574" s="67"/>
      <c r="U574" s="151"/>
      <c r="V574" s="1"/>
      <c r="W574" s="68">
        <f t="shared" si="149"/>
        <v>0</v>
      </c>
      <c r="X574" s="68">
        <f t="shared" si="150"/>
        <v>0</v>
      </c>
      <c r="Y574" s="68">
        <f t="shared" si="151"/>
        <v>0</v>
      </c>
      <c r="Z574" s="68">
        <f t="shared" si="152"/>
        <v>0</v>
      </c>
      <c r="AA574" s="68"/>
      <c r="AB574" s="68">
        <v>0</v>
      </c>
      <c r="AC574" s="69">
        <f t="shared" si="153"/>
        <v>0</v>
      </c>
      <c r="AD574" s="70">
        <v>0</v>
      </c>
      <c r="AE574" s="63">
        <v>40371</v>
      </c>
      <c r="AF574" s="72"/>
      <c r="AG574" s="63" t="s">
        <v>938</v>
      </c>
      <c r="AH574" s="23" t="s">
        <v>939</v>
      </c>
      <c r="AI574" s="60"/>
      <c r="AJ574" s="133" t="s">
        <v>1608</v>
      </c>
      <c r="AK574" s="73" t="s">
        <v>999</v>
      </c>
      <c r="AL574" s="3"/>
      <c r="AM574" s="4"/>
      <c r="AN574" s="5"/>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6"/>
      <c r="CO574" s="7"/>
      <c r="CP574" s="6"/>
      <c r="CQ574" s="7"/>
      <c r="CR574" s="6"/>
      <c r="CS574" s="7"/>
      <c r="CT574" s="8">
        <f t="shared" si="154"/>
        <v>0</v>
      </c>
      <c r="CU574" s="9"/>
      <c r="CV574" s="10"/>
      <c r="CW574" s="11"/>
      <c r="CX574" s="12"/>
      <c r="CY574" s="26"/>
      <c r="CZ574" s="12"/>
      <c r="DA574" s="9"/>
      <c r="DB574" s="10"/>
      <c r="DC574" s="64"/>
    </row>
    <row r="575" spans="1:108" outlineLevel="2">
      <c r="A575" s="178">
        <v>40373</v>
      </c>
      <c r="B575" s="164" t="s">
        <v>1142</v>
      </c>
      <c r="C575" s="164" t="s">
        <v>2267</v>
      </c>
      <c r="D575" s="166" t="s">
        <v>1262</v>
      </c>
      <c r="E575" s="163"/>
      <c r="F575" s="105"/>
      <c r="G575" s="105"/>
      <c r="H575" s="105">
        <v>500</v>
      </c>
      <c r="I575" s="105">
        <v>100</v>
      </c>
      <c r="J575" s="105"/>
      <c r="K575" s="105">
        <v>100</v>
      </c>
      <c r="L575" s="105"/>
      <c r="M575" s="105"/>
      <c r="N575" s="105"/>
      <c r="O575" s="105"/>
      <c r="P575" s="105">
        <v>1</v>
      </c>
      <c r="Q575" s="105"/>
      <c r="R575" s="105"/>
      <c r="S575" s="105"/>
      <c r="T575" s="106"/>
      <c r="U575" s="130"/>
      <c r="V575" s="1"/>
      <c r="W575" s="68">
        <f t="shared" si="149"/>
        <v>0</v>
      </c>
      <c r="X575" s="68">
        <f t="shared" si="150"/>
        <v>0</v>
      </c>
      <c r="Y575" s="68">
        <f t="shared" si="151"/>
        <v>0</v>
      </c>
      <c r="Z575" s="68">
        <f t="shared" si="152"/>
        <v>0</v>
      </c>
      <c r="AA575" s="68"/>
      <c r="AB575" s="68">
        <v>0</v>
      </c>
      <c r="AC575" s="69">
        <f t="shared" si="153"/>
        <v>0</v>
      </c>
      <c r="AD575" s="70">
        <v>0</v>
      </c>
      <c r="AE575" s="63">
        <v>40484</v>
      </c>
      <c r="AF575" s="72"/>
      <c r="AG575" s="63" t="s">
        <v>938</v>
      </c>
      <c r="AH575" s="23" t="s">
        <v>939</v>
      </c>
      <c r="AI575" s="83"/>
      <c r="AJ575" s="124" t="s">
        <v>1608</v>
      </c>
      <c r="AK575" s="121"/>
      <c r="AL575" s="107"/>
      <c r="AM575" s="108"/>
      <c r="AN575" s="109"/>
      <c r="AO575" s="108"/>
      <c r="AP575" s="108"/>
      <c r="AQ575" s="108"/>
      <c r="AR575" s="108"/>
      <c r="AS575" s="108"/>
      <c r="AT575" s="108"/>
      <c r="AU575" s="108"/>
      <c r="AV575" s="108"/>
      <c r="AW575" s="108"/>
      <c r="AX575" s="108"/>
      <c r="AY575" s="108"/>
      <c r="AZ575" s="108"/>
      <c r="BA575" s="108"/>
      <c r="BB575" s="108"/>
      <c r="BC575" s="108"/>
      <c r="BD575" s="108"/>
      <c r="BE575" s="108"/>
      <c r="BF575" s="108"/>
      <c r="BG575" s="108"/>
      <c r="BH575" s="108"/>
      <c r="BI575" s="108"/>
      <c r="BJ575" s="108"/>
      <c r="BK575" s="108"/>
      <c r="BL575" s="108"/>
      <c r="BM575" s="108"/>
      <c r="BN575" s="108"/>
      <c r="BO575" s="108"/>
      <c r="BP575" s="108"/>
      <c r="BQ575" s="108"/>
      <c r="BR575" s="108"/>
      <c r="BS575" s="108"/>
      <c r="BT575" s="108"/>
      <c r="BU575" s="108"/>
      <c r="BV575" s="108"/>
      <c r="BW575" s="108"/>
      <c r="BX575" s="108"/>
      <c r="BY575" s="108"/>
      <c r="BZ575" s="108"/>
      <c r="CA575" s="108"/>
      <c r="CB575" s="108"/>
      <c r="CC575" s="108"/>
      <c r="CD575" s="108"/>
      <c r="CE575" s="108"/>
      <c r="CF575" s="108"/>
      <c r="CG575" s="108"/>
      <c r="CH575" s="108"/>
      <c r="CI575" s="108"/>
      <c r="CJ575" s="108"/>
      <c r="CK575" s="108"/>
      <c r="CL575" s="108"/>
      <c r="CM575" s="108"/>
      <c r="CN575" s="110"/>
      <c r="CO575" s="111"/>
      <c r="CP575" s="110"/>
      <c r="CQ575" s="111"/>
      <c r="CR575" s="110"/>
      <c r="CS575" s="111"/>
      <c r="CT575" s="112">
        <f t="shared" si="154"/>
        <v>0</v>
      </c>
      <c r="CU575" s="113"/>
      <c r="CV575" s="114"/>
      <c r="CW575" s="115"/>
      <c r="CX575" s="116"/>
      <c r="CY575" s="117"/>
      <c r="CZ575" s="116"/>
      <c r="DA575" s="113"/>
      <c r="DB575" s="114"/>
      <c r="DC575" s="64"/>
      <c r="DD575" s="118"/>
    </row>
    <row r="576" spans="1:108" ht="24" outlineLevel="2">
      <c r="A576" s="178">
        <v>40375</v>
      </c>
      <c r="B576" s="164" t="s">
        <v>1142</v>
      </c>
      <c r="C576" s="164" t="s">
        <v>1007</v>
      </c>
      <c r="D576" s="166" t="s">
        <v>1262</v>
      </c>
      <c r="E576" s="163"/>
      <c r="F576" s="105"/>
      <c r="G576" s="105"/>
      <c r="H576" s="105">
        <v>65</v>
      </c>
      <c r="I576" s="105">
        <v>13</v>
      </c>
      <c r="J576" s="105"/>
      <c r="K576" s="105">
        <v>13</v>
      </c>
      <c r="L576" s="105"/>
      <c r="M576" s="105"/>
      <c r="N576" s="105"/>
      <c r="O576" s="105"/>
      <c r="P576" s="105"/>
      <c r="Q576" s="105"/>
      <c r="R576" s="105"/>
      <c r="S576" s="105"/>
      <c r="T576" s="106"/>
      <c r="U576" s="130" t="s">
        <v>1009</v>
      </c>
      <c r="V576" s="1"/>
      <c r="W576" s="68">
        <f t="shared" si="149"/>
        <v>0</v>
      </c>
      <c r="X576" s="68">
        <f t="shared" si="150"/>
        <v>0</v>
      </c>
      <c r="Y576" s="68">
        <f t="shared" si="151"/>
        <v>0</v>
      </c>
      <c r="Z576" s="68">
        <f t="shared" si="152"/>
        <v>0</v>
      </c>
      <c r="AA576" s="68"/>
      <c r="AB576" s="68">
        <v>0</v>
      </c>
      <c r="AC576" s="69">
        <f t="shared" si="153"/>
        <v>0</v>
      </c>
      <c r="AD576" s="70">
        <v>0</v>
      </c>
      <c r="AE576" s="63">
        <v>40484</v>
      </c>
      <c r="AF576" s="72"/>
      <c r="AG576" s="63" t="s">
        <v>938</v>
      </c>
      <c r="AH576" s="23" t="s">
        <v>939</v>
      </c>
      <c r="AI576" s="83"/>
      <c r="AJ576" s="124" t="s">
        <v>1608</v>
      </c>
      <c r="AK576" s="121" t="s">
        <v>1008</v>
      </c>
      <c r="AL576" s="107"/>
      <c r="AM576" s="108"/>
      <c r="AN576" s="109"/>
      <c r="AO576" s="108"/>
      <c r="AP576" s="108"/>
      <c r="AQ576" s="108"/>
      <c r="AR576" s="108"/>
      <c r="AS576" s="108"/>
      <c r="AT576" s="108"/>
      <c r="AU576" s="108"/>
      <c r="AV576" s="108"/>
      <c r="AW576" s="108"/>
      <c r="AX576" s="108"/>
      <c r="AY576" s="108"/>
      <c r="AZ576" s="108"/>
      <c r="BA576" s="108"/>
      <c r="BB576" s="108"/>
      <c r="BC576" s="108"/>
      <c r="BD576" s="108"/>
      <c r="BE576" s="108"/>
      <c r="BF576" s="108"/>
      <c r="BG576" s="108"/>
      <c r="BH576" s="108"/>
      <c r="BI576" s="108"/>
      <c r="BJ576" s="108"/>
      <c r="BK576" s="108"/>
      <c r="BL576" s="108"/>
      <c r="BM576" s="108"/>
      <c r="BN576" s="108"/>
      <c r="BO576" s="108"/>
      <c r="BP576" s="108"/>
      <c r="BQ576" s="108"/>
      <c r="BR576" s="108"/>
      <c r="BS576" s="108"/>
      <c r="BT576" s="108"/>
      <c r="BU576" s="108"/>
      <c r="BV576" s="108"/>
      <c r="BW576" s="108"/>
      <c r="BX576" s="108"/>
      <c r="BY576" s="108"/>
      <c r="BZ576" s="108"/>
      <c r="CA576" s="108"/>
      <c r="CB576" s="108"/>
      <c r="CC576" s="108"/>
      <c r="CD576" s="108"/>
      <c r="CE576" s="108"/>
      <c r="CF576" s="108"/>
      <c r="CG576" s="108"/>
      <c r="CH576" s="108"/>
      <c r="CI576" s="108"/>
      <c r="CJ576" s="108"/>
      <c r="CK576" s="108"/>
      <c r="CL576" s="108"/>
      <c r="CM576" s="108"/>
      <c r="CN576" s="110"/>
      <c r="CO576" s="111"/>
      <c r="CP576" s="110"/>
      <c r="CQ576" s="111"/>
      <c r="CR576" s="110"/>
      <c r="CS576" s="111"/>
      <c r="CT576" s="112">
        <f t="shared" si="154"/>
        <v>0</v>
      </c>
      <c r="CU576" s="113"/>
      <c r="CV576" s="114"/>
      <c r="CW576" s="115"/>
      <c r="CX576" s="116"/>
      <c r="CY576" s="117"/>
      <c r="CZ576" s="116"/>
      <c r="DA576" s="113"/>
      <c r="DB576" s="114"/>
      <c r="DC576" s="64"/>
      <c r="DD576" s="118"/>
    </row>
    <row r="577" spans="1:108" ht="132" outlineLevel="2">
      <c r="A577" s="178">
        <v>40379</v>
      </c>
      <c r="B577" s="82" t="s">
        <v>1142</v>
      </c>
      <c r="C577" s="82" t="s">
        <v>1519</v>
      </c>
      <c r="D577" s="165" t="s">
        <v>1262</v>
      </c>
      <c r="E577" s="167"/>
      <c r="F577" s="66"/>
      <c r="G577" s="66"/>
      <c r="H577" s="66">
        <v>2770</v>
      </c>
      <c r="I577" s="66">
        <v>554</v>
      </c>
      <c r="J577" s="66"/>
      <c r="K577" s="66">
        <v>554</v>
      </c>
      <c r="L577" s="66"/>
      <c r="M577" s="66"/>
      <c r="N577" s="66"/>
      <c r="O577" s="66"/>
      <c r="P577" s="66"/>
      <c r="Q577" s="66"/>
      <c r="R577" s="66"/>
      <c r="S577" s="66"/>
      <c r="T577" s="67"/>
      <c r="U577" s="151"/>
      <c r="V577" s="1">
        <v>40427</v>
      </c>
      <c r="W577" s="68">
        <f t="shared" si="149"/>
        <v>29916000</v>
      </c>
      <c r="X577" s="68">
        <f t="shared" si="150"/>
        <v>47090000</v>
      </c>
      <c r="Y577" s="68">
        <f>30*225000.56+50*215296+50*200000.24+50*200000.24+40*140000.4</f>
        <v>43114856.799999997</v>
      </c>
      <c r="Z577" s="68">
        <f t="shared" si="152"/>
        <v>0</v>
      </c>
      <c r="AA577" s="68"/>
      <c r="AB577" s="68">
        <v>0</v>
      </c>
      <c r="AC577" s="69">
        <f t="shared" si="153"/>
        <v>120120856.8</v>
      </c>
      <c r="AD577" s="70">
        <v>0</v>
      </c>
      <c r="AE577" s="63">
        <v>40393</v>
      </c>
      <c r="AF577" s="72">
        <v>38583</v>
      </c>
      <c r="AG577" s="63" t="s">
        <v>954</v>
      </c>
      <c r="AH577" s="23" t="s">
        <v>955</v>
      </c>
      <c r="AI577" s="75" t="s">
        <v>2140</v>
      </c>
      <c r="AJ577" s="133" t="s">
        <v>1730</v>
      </c>
      <c r="AK577" s="73" t="s">
        <v>2141</v>
      </c>
      <c r="AL577" s="3"/>
      <c r="AM577" s="4"/>
      <c r="AN577" s="5"/>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v>554</v>
      </c>
      <c r="CM577" s="4">
        <f>554*18000</f>
        <v>9972000</v>
      </c>
      <c r="CN577" s="6"/>
      <c r="CO577" s="7"/>
      <c r="CP577" s="6">
        <v>554</v>
      </c>
      <c r="CQ577" s="7">
        <f>554*36000</f>
        <v>19944000</v>
      </c>
      <c r="CR577" s="6"/>
      <c r="CS577" s="7"/>
      <c r="CT577" s="8">
        <f t="shared" si="154"/>
        <v>29916000</v>
      </c>
      <c r="CU577" s="9"/>
      <c r="CV577" s="10"/>
      <c r="CW577" s="11">
        <v>554</v>
      </c>
      <c r="CX577" s="12">
        <f>554*85000</f>
        <v>47090000</v>
      </c>
      <c r="CY577" s="26"/>
      <c r="CZ577" s="12"/>
      <c r="DA577" s="9"/>
      <c r="DB577" s="10"/>
      <c r="DC577" s="64"/>
    </row>
    <row r="578" spans="1:108" ht="22.5" outlineLevel="2">
      <c r="A578" s="178">
        <v>40379</v>
      </c>
      <c r="B578" s="82" t="s">
        <v>1142</v>
      </c>
      <c r="C578" s="82" t="s">
        <v>807</v>
      </c>
      <c r="D578" s="165" t="s">
        <v>1262</v>
      </c>
      <c r="E578" s="167"/>
      <c r="F578" s="66"/>
      <c r="G578" s="66"/>
      <c r="H578" s="66">
        <f>46*5</f>
        <v>230</v>
      </c>
      <c r="I578" s="66">
        <v>46</v>
      </c>
      <c r="J578" s="66"/>
      <c r="K578" s="66">
        <v>46</v>
      </c>
      <c r="L578" s="66"/>
      <c r="M578" s="66"/>
      <c r="N578" s="66"/>
      <c r="O578" s="66"/>
      <c r="P578" s="66"/>
      <c r="Q578" s="66"/>
      <c r="R578" s="66"/>
      <c r="S578" s="66"/>
      <c r="T578" s="67"/>
      <c r="U578" s="151" t="s">
        <v>1676</v>
      </c>
      <c r="V578" s="1">
        <v>40427</v>
      </c>
      <c r="W578" s="68">
        <f t="shared" si="149"/>
        <v>2484000</v>
      </c>
      <c r="X578" s="68">
        <f t="shared" si="150"/>
        <v>3910000</v>
      </c>
      <c r="Y578" s="68">
        <f t="shared" ref="Y578:Y623" si="155">CZ578+DB578</f>
        <v>0</v>
      </c>
      <c r="Z578" s="68">
        <f t="shared" si="152"/>
        <v>0</v>
      </c>
      <c r="AA578" s="68"/>
      <c r="AB578" s="68">
        <v>0</v>
      </c>
      <c r="AC578" s="69">
        <f t="shared" si="153"/>
        <v>6394000</v>
      </c>
      <c r="AD578" s="70">
        <v>0</v>
      </c>
      <c r="AE578" s="63">
        <v>40393</v>
      </c>
      <c r="AF578" s="72">
        <v>38583</v>
      </c>
      <c r="AG578" s="63" t="s">
        <v>954</v>
      </c>
      <c r="AH578" s="23" t="s">
        <v>955</v>
      </c>
      <c r="AI578" s="75" t="s">
        <v>1321</v>
      </c>
      <c r="AJ578" s="133" t="s">
        <v>1730</v>
      </c>
      <c r="AK578" s="73" t="s">
        <v>1521</v>
      </c>
      <c r="AL578" s="3"/>
      <c r="AM578" s="4"/>
      <c r="AN578" s="5"/>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v>46</v>
      </c>
      <c r="CM578" s="4">
        <f>46*18000</f>
        <v>828000</v>
      </c>
      <c r="CN578" s="6"/>
      <c r="CO578" s="7"/>
      <c r="CP578" s="6">
        <v>46</v>
      </c>
      <c r="CQ578" s="7">
        <f>46*36000</f>
        <v>1656000</v>
      </c>
      <c r="CR578" s="6"/>
      <c r="CS578" s="7"/>
      <c r="CT578" s="8">
        <f t="shared" si="154"/>
        <v>2484000</v>
      </c>
      <c r="CU578" s="9"/>
      <c r="CV578" s="10"/>
      <c r="CW578" s="11">
        <v>46</v>
      </c>
      <c r="CX578" s="12">
        <f>46*85000</f>
        <v>3910000</v>
      </c>
      <c r="CY578" s="26"/>
      <c r="CZ578" s="12"/>
      <c r="DA578" s="9"/>
      <c r="DB578" s="10"/>
      <c r="DC578" s="64"/>
    </row>
    <row r="579" spans="1:108" ht="84" outlineLevel="2">
      <c r="A579" s="178">
        <v>40379</v>
      </c>
      <c r="B579" s="82" t="s">
        <v>1142</v>
      </c>
      <c r="C579" s="82" t="s">
        <v>1588</v>
      </c>
      <c r="D579" s="165" t="s">
        <v>1262</v>
      </c>
      <c r="E579" s="167"/>
      <c r="F579" s="66"/>
      <c r="G579" s="66"/>
      <c r="H579" s="66">
        <f>260*5</f>
        <v>1300</v>
      </c>
      <c r="I579" s="66">
        <v>260</v>
      </c>
      <c r="J579" s="66"/>
      <c r="K579" s="66">
        <v>260</v>
      </c>
      <c r="L579" s="66"/>
      <c r="M579" s="66">
        <v>1</v>
      </c>
      <c r="N579" s="66"/>
      <c r="O579" s="66"/>
      <c r="P579" s="66"/>
      <c r="Q579" s="66"/>
      <c r="R579" s="66"/>
      <c r="S579" s="66"/>
      <c r="T579" s="67">
        <v>800</v>
      </c>
      <c r="U579" s="151" t="s">
        <v>1005</v>
      </c>
      <c r="V579" s="1">
        <v>40452</v>
      </c>
      <c r="W579" s="68">
        <f t="shared" si="149"/>
        <v>11880000</v>
      </c>
      <c r="X579" s="68">
        <f t="shared" si="150"/>
        <v>18700000</v>
      </c>
      <c r="Y579" s="68">
        <f t="shared" si="155"/>
        <v>0</v>
      </c>
      <c r="Z579" s="68">
        <f t="shared" si="152"/>
        <v>0</v>
      </c>
      <c r="AA579" s="68"/>
      <c r="AB579" s="68">
        <v>0</v>
      </c>
      <c r="AC579" s="69">
        <f t="shared" si="153"/>
        <v>30580000</v>
      </c>
      <c r="AD579" s="70">
        <v>0</v>
      </c>
      <c r="AE579" s="1">
        <v>40385</v>
      </c>
      <c r="AF579" s="72">
        <v>50562</v>
      </c>
      <c r="AG579" s="63" t="s">
        <v>954</v>
      </c>
      <c r="AH579" s="23" t="s">
        <v>955</v>
      </c>
      <c r="AI579" s="60">
        <v>20729</v>
      </c>
      <c r="AJ579" s="133" t="s">
        <v>1323</v>
      </c>
      <c r="AK579" s="73" t="s">
        <v>1006</v>
      </c>
      <c r="AL579" s="3"/>
      <c r="AM579" s="4"/>
      <c r="AN579" s="5"/>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v>220</v>
      </c>
      <c r="CM579" s="4">
        <f>220*18000</f>
        <v>3960000</v>
      </c>
      <c r="CN579" s="6"/>
      <c r="CO579" s="7"/>
      <c r="CP579" s="6">
        <v>220</v>
      </c>
      <c r="CQ579" s="7">
        <f>220*36000</f>
        <v>7920000</v>
      </c>
      <c r="CR579" s="6"/>
      <c r="CS579" s="7"/>
      <c r="CT579" s="8">
        <f t="shared" si="154"/>
        <v>11880000</v>
      </c>
      <c r="CU579" s="9"/>
      <c r="CV579" s="10"/>
      <c r="CW579" s="11">
        <v>220</v>
      </c>
      <c r="CX579" s="12">
        <f>220*85000</f>
        <v>18700000</v>
      </c>
      <c r="CY579" s="26"/>
      <c r="CZ579" s="12"/>
      <c r="DA579" s="9"/>
      <c r="DB579" s="10"/>
      <c r="DC579" s="64"/>
    </row>
    <row r="580" spans="1:108" ht="60" outlineLevel="2">
      <c r="A580" s="178">
        <v>40381</v>
      </c>
      <c r="B580" s="174" t="s">
        <v>1142</v>
      </c>
      <c r="C580" s="174" t="s">
        <v>1091</v>
      </c>
      <c r="D580" s="179" t="s">
        <v>1262</v>
      </c>
      <c r="E580" s="163"/>
      <c r="F580" s="105"/>
      <c r="G580" s="105"/>
      <c r="H580" s="105">
        <f>400*5</f>
        <v>2000</v>
      </c>
      <c r="I580" s="105">
        <v>400</v>
      </c>
      <c r="J580" s="105"/>
      <c r="K580" s="105">
        <v>400</v>
      </c>
      <c r="L580" s="105"/>
      <c r="M580" s="105"/>
      <c r="N580" s="105"/>
      <c r="O580" s="105"/>
      <c r="P580" s="105"/>
      <c r="Q580" s="105"/>
      <c r="R580" s="105"/>
      <c r="S580" s="105"/>
      <c r="T580" s="106"/>
      <c r="U580" s="130"/>
      <c r="V580" s="1">
        <v>40522</v>
      </c>
      <c r="W580" s="68">
        <f t="shared" si="149"/>
        <v>0</v>
      </c>
      <c r="X580" s="68">
        <f t="shared" si="150"/>
        <v>0</v>
      </c>
      <c r="Y580" s="68">
        <f t="shared" si="155"/>
        <v>0</v>
      </c>
      <c r="Z580" s="68">
        <f t="shared" si="152"/>
        <v>0</v>
      </c>
      <c r="AA580" s="68">
        <f>100*12528+100*19488+100*25520+50*17400</f>
        <v>6623600</v>
      </c>
      <c r="AB580" s="68">
        <v>0</v>
      </c>
      <c r="AC580" s="69">
        <f t="shared" si="153"/>
        <v>6623600</v>
      </c>
      <c r="AD580" s="70">
        <v>54450000</v>
      </c>
      <c r="AE580" s="1">
        <v>40422</v>
      </c>
      <c r="AF580" s="72">
        <v>58953</v>
      </c>
      <c r="AG580" s="63" t="s">
        <v>954</v>
      </c>
      <c r="AH580" s="23" t="s">
        <v>955</v>
      </c>
      <c r="AI580" s="60">
        <v>26016</v>
      </c>
      <c r="AJ580" s="133" t="s">
        <v>415</v>
      </c>
      <c r="AK580" s="121" t="s">
        <v>2332</v>
      </c>
      <c r="AL580" s="107"/>
      <c r="AM580" s="108"/>
      <c r="AN580" s="109"/>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c r="BU580" s="108"/>
      <c r="BV580" s="108"/>
      <c r="BW580" s="108"/>
      <c r="BX580" s="108"/>
      <c r="BY580" s="108"/>
      <c r="BZ580" s="108"/>
      <c r="CA580" s="108"/>
      <c r="CB580" s="108"/>
      <c r="CC580" s="108"/>
      <c r="CD580" s="108"/>
      <c r="CE580" s="108"/>
      <c r="CF580" s="108"/>
      <c r="CG580" s="108"/>
      <c r="CH580" s="108"/>
      <c r="CI580" s="108"/>
      <c r="CJ580" s="108"/>
      <c r="CK580" s="108"/>
      <c r="CL580" s="108"/>
      <c r="CM580" s="108"/>
      <c r="CN580" s="110"/>
      <c r="CO580" s="111"/>
      <c r="CP580" s="110"/>
      <c r="CQ580" s="111"/>
      <c r="CR580" s="110"/>
      <c r="CS580" s="111"/>
      <c r="CT580" s="112">
        <f t="shared" si="154"/>
        <v>0</v>
      </c>
      <c r="CU580" s="113"/>
      <c r="CV580" s="114"/>
      <c r="CW580" s="115"/>
      <c r="CX580" s="116"/>
      <c r="CY580" s="117"/>
      <c r="CZ580" s="116"/>
      <c r="DA580" s="113"/>
      <c r="DB580" s="114"/>
      <c r="DC580" s="64"/>
      <c r="DD580" s="118"/>
    </row>
    <row r="581" spans="1:108" ht="22.5" outlineLevel="2">
      <c r="A581" s="178">
        <v>40389</v>
      </c>
      <c r="B581" s="164" t="s">
        <v>1142</v>
      </c>
      <c r="C581" s="164" t="s">
        <v>579</v>
      </c>
      <c r="D581" s="166" t="s">
        <v>1262</v>
      </c>
      <c r="E581" s="163"/>
      <c r="F581" s="105"/>
      <c r="G581" s="105"/>
      <c r="H581" s="105">
        <f>22*5</f>
        <v>110</v>
      </c>
      <c r="I581" s="105">
        <v>22</v>
      </c>
      <c r="J581" s="105"/>
      <c r="K581" s="105">
        <v>22</v>
      </c>
      <c r="L581" s="105"/>
      <c r="M581" s="105"/>
      <c r="N581" s="105"/>
      <c r="O581" s="105"/>
      <c r="P581" s="105"/>
      <c r="Q581" s="105"/>
      <c r="R581" s="105"/>
      <c r="S581" s="105"/>
      <c r="T581" s="106"/>
      <c r="U581" s="130"/>
      <c r="V581" s="1">
        <v>40452</v>
      </c>
      <c r="W581" s="68">
        <f t="shared" si="149"/>
        <v>1188000</v>
      </c>
      <c r="X581" s="68">
        <f t="shared" si="150"/>
        <v>1870000</v>
      </c>
      <c r="Y581" s="68">
        <f t="shared" si="155"/>
        <v>0</v>
      </c>
      <c r="Z581" s="68">
        <f t="shared" si="152"/>
        <v>0</v>
      </c>
      <c r="AA581" s="68"/>
      <c r="AB581" s="68">
        <v>0</v>
      </c>
      <c r="AC581" s="69">
        <f t="shared" si="153"/>
        <v>3058000</v>
      </c>
      <c r="AD581" s="70">
        <v>0</v>
      </c>
      <c r="AE581" s="1">
        <v>40444</v>
      </c>
      <c r="AF581" s="72">
        <v>50562</v>
      </c>
      <c r="AG581" s="63" t="s">
        <v>954</v>
      </c>
      <c r="AH581" s="23" t="s">
        <v>955</v>
      </c>
      <c r="AI581" s="60">
        <v>20729</v>
      </c>
      <c r="AJ581" s="124" t="s">
        <v>1323</v>
      </c>
      <c r="AK581" s="121"/>
      <c r="AL581" s="107"/>
      <c r="AM581" s="108"/>
      <c r="AN581" s="109"/>
      <c r="AO581" s="108"/>
      <c r="AP581" s="108"/>
      <c r="AQ581" s="108"/>
      <c r="AR581" s="108"/>
      <c r="AS581" s="108"/>
      <c r="AT581" s="108"/>
      <c r="AU581" s="108"/>
      <c r="AV581" s="108"/>
      <c r="AW581" s="108"/>
      <c r="AX581" s="108"/>
      <c r="AY581" s="108"/>
      <c r="AZ581" s="108"/>
      <c r="BA581" s="108"/>
      <c r="BB581" s="108"/>
      <c r="BC581" s="108"/>
      <c r="BD581" s="108"/>
      <c r="BE581" s="108"/>
      <c r="BF581" s="108"/>
      <c r="BG581" s="108"/>
      <c r="BH581" s="108"/>
      <c r="BI581" s="108"/>
      <c r="BJ581" s="108"/>
      <c r="BK581" s="108"/>
      <c r="BL581" s="108"/>
      <c r="BM581" s="108"/>
      <c r="BN581" s="108"/>
      <c r="BO581" s="108"/>
      <c r="BP581" s="108"/>
      <c r="BQ581" s="108"/>
      <c r="BR581" s="108"/>
      <c r="BS581" s="108"/>
      <c r="BT581" s="108"/>
      <c r="BU581" s="108"/>
      <c r="BV581" s="108"/>
      <c r="BW581" s="108"/>
      <c r="BX581" s="108"/>
      <c r="BY581" s="108"/>
      <c r="BZ581" s="108"/>
      <c r="CA581" s="108"/>
      <c r="CB581" s="108"/>
      <c r="CC581" s="108"/>
      <c r="CD581" s="108"/>
      <c r="CE581" s="108"/>
      <c r="CF581" s="108"/>
      <c r="CG581" s="108"/>
      <c r="CH581" s="108"/>
      <c r="CI581" s="108"/>
      <c r="CJ581" s="108"/>
      <c r="CK581" s="108"/>
      <c r="CL581" s="108">
        <v>22</v>
      </c>
      <c r="CM581" s="108">
        <f>22*18000</f>
        <v>396000</v>
      </c>
      <c r="CN581" s="110"/>
      <c r="CO581" s="111"/>
      <c r="CP581" s="110">
        <v>22</v>
      </c>
      <c r="CQ581" s="111">
        <f>22*36000</f>
        <v>792000</v>
      </c>
      <c r="CR581" s="110"/>
      <c r="CS581" s="111"/>
      <c r="CT581" s="112">
        <f t="shared" si="154"/>
        <v>1188000</v>
      </c>
      <c r="CU581" s="113"/>
      <c r="CV581" s="114"/>
      <c r="CW581" s="115">
        <v>22</v>
      </c>
      <c r="CX581" s="116">
        <f>22*85000</f>
        <v>1870000</v>
      </c>
      <c r="CY581" s="117"/>
      <c r="CZ581" s="116"/>
      <c r="DA581" s="113"/>
      <c r="DB581" s="114"/>
      <c r="DC581" s="64"/>
      <c r="DD581" s="118"/>
    </row>
    <row r="582" spans="1:108" ht="22.5" outlineLevel="2">
      <c r="A582" s="178">
        <v>40391</v>
      </c>
      <c r="B582" s="174" t="s">
        <v>1142</v>
      </c>
      <c r="C582" s="174" t="s">
        <v>2381</v>
      </c>
      <c r="D582" s="179" t="s">
        <v>1262</v>
      </c>
      <c r="E582" s="163"/>
      <c r="F582" s="105"/>
      <c r="G582" s="105"/>
      <c r="H582" s="105">
        <f>150*5</f>
        <v>750</v>
      </c>
      <c r="I582" s="105">
        <v>150</v>
      </c>
      <c r="J582" s="105"/>
      <c r="K582" s="105">
        <v>150</v>
      </c>
      <c r="L582" s="105"/>
      <c r="M582" s="105"/>
      <c r="N582" s="105"/>
      <c r="O582" s="105"/>
      <c r="P582" s="105"/>
      <c r="Q582" s="105"/>
      <c r="R582" s="105"/>
      <c r="S582" s="105"/>
      <c r="T582" s="106"/>
      <c r="U582" s="130"/>
      <c r="V582" s="1">
        <v>40427</v>
      </c>
      <c r="W582" s="68">
        <f t="shared" si="149"/>
        <v>8100000</v>
      </c>
      <c r="X582" s="68">
        <f t="shared" si="150"/>
        <v>12750000</v>
      </c>
      <c r="Y582" s="68">
        <f t="shared" si="155"/>
        <v>0</v>
      </c>
      <c r="Z582" s="68">
        <f t="shared" si="152"/>
        <v>0</v>
      </c>
      <c r="AA582" s="68"/>
      <c r="AB582" s="68">
        <v>0</v>
      </c>
      <c r="AC582" s="69">
        <f t="shared" si="153"/>
        <v>20850000</v>
      </c>
      <c r="AD582" s="70">
        <v>0</v>
      </c>
      <c r="AE582" s="1">
        <v>40393</v>
      </c>
      <c r="AF582" s="72">
        <v>38583</v>
      </c>
      <c r="AG582" s="63" t="s">
        <v>954</v>
      </c>
      <c r="AH582" s="23" t="s">
        <v>955</v>
      </c>
      <c r="AI582" s="75" t="s">
        <v>1321</v>
      </c>
      <c r="AJ582" s="133" t="s">
        <v>1730</v>
      </c>
      <c r="AK582" s="121" t="s">
        <v>1960</v>
      </c>
      <c r="AL582" s="107"/>
      <c r="AM582" s="108"/>
      <c r="AN582" s="109"/>
      <c r="AO582" s="108"/>
      <c r="AP582" s="108"/>
      <c r="AQ582" s="108"/>
      <c r="AR582" s="108"/>
      <c r="AS582" s="108"/>
      <c r="AT582" s="108"/>
      <c r="AU582" s="108"/>
      <c r="AV582" s="108"/>
      <c r="AW582" s="108"/>
      <c r="AX582" s="108"/>
      <c r="AY582" s="108"/>
      <c r="AZ582" s="108"/>
      <c r="BA582" s="108"/>
      <c r="BB582" s="108"/>
      <c r="BC582" s="108"/>
      <c r="BD582" s="108"/>
      <c r="BE582" s="108"/>
      <c r="BF582" s="108"/>
      <c r="BG582" s="108"/>
      <c r="BH582" s="108"/>
      <c r="BI582" s="108"/>
      <c r="BJ582" s="108"/>
      <c r="BK582" s="108"/>
      <c r="BL582" s="108"/>
      <c r="BM582" s="108"/>
      <c r="BN582" s="108"/>
      <c r="BO582" s="108"/>
      <c r="BP582" s="108"/>
      <c r="BQ582" s="108"/>
      <c r="BR582" s="108"/>
      <c r="BS582" s="108"/>
      <c r="BT582" s="108"/>
      <c r="BU582" s="108"/>
      <c r="BV582" s="108"/>
      <c r="BW582" s="108"/>
      <c r="BX582" s="108"/>
      <c r="BY582" s="108"/>
      <c r="BZ582" s="108"/>
      <c r="CA582" s="108"/>
      <c r="CB582" s="108"/>
      <c r="CC582" s="108"/>
      <c r="CD582" s="108"/>
      <c r="CE582" s="108"/>
      <c r="CF582" s="108"/>
      <c r="CG582" s="108"/>
      <c r="CH582" s="108"/>
      <c r="CI582" s="108"/>
      <c r="CJ582" s="108"/>
      <c r="CK582" s="108"/>
      <c r="CL582" s="108">
        <v>150</v>
      </c>
      <c r="CM582" s="108">
        <f>150*18000</f>
        <v>2700000</v>
      </c>
      <c r="CN582" s="110"/>
      <c r="CO582" s="111"/>
      <c r="CP582" s="110">
        <v>150</v>
      </c>
      <c r="CQ582" s="111">
        <f>150*36000</f>
        <v>5400000</v>
      </c>
      <c r="CR582" s="110"/>
      <c r="CS582" s="111"/>
      <c r="CT582" s="112">
        <f t="shared" si="154"/>
        <v>8100000</v>
      </c>
      <c r="CU582" s="113"/>
      <c r="CV582" s="114"/>
      <c r="CW582" s="115">
        <v>150</v>
      </c>
      <c r="CX582" s="116">
        <f>150*85000</f>
        <v>12750000</v>
      </c>
      <c r="CY582" s="117"/>
      <c r="CZ582" s="116"/>
      <c r="DA582" s="113"/>
      <c r="DB582" s="114"/>
      <c r="DC582" s="64"/>
      <c r="DD582" s="118"/>
    </row>
    <row r="583" spans="1:108" ht="24" outlineLevel="2">
      <c r="A583" s="178">
        <v>40391</v>
      </c>
      <c r="B583" s="174" t="s">
        <v>1142</v>
      </c>
      <c r="C583" s="174" t="s">
        <v>1918</v>
      </c>
      <c r="D583" s="179" t="s">
        <v>1262</v>
      </c>
      <c r="E583" s="163"/>
      <c r="F583" s="105"/>
      <c r="G583" s="105"/>
      <c r="H583" s="105">
        <f>38*5</f>
        <v>190</v>
      </c>
      <c r="I583" s="105">
        <v>38</v>
      </c>
      <c r="J583" s="105"/>
      <c r="K583" s="105">
        <v>38</v>
      </c>
      <c r="L583" s="105"/>
      <c r="M583" s="105"/>
      <c r="N583" s="105"/>
      <c r="O583" s="105"/>
      <c r="P583" s="105"/>
      <c r="Q583" s="105"/>
      <c r="R583" s="105"/>
      <c r="S583" s="105"/>
      <c r="T583" s="106"/>
      <c r="U583" s="130" t="s">
        <v>1003</v>
      </c>
      <c r="V583" s="1">
        <v>40452</v>
      </c>
      <c r="W583" s="68">
        <f t="shared" si="149"/>
        <v>2052000</v>
      </c>
      <c r="X583" s="68">
        <f t="shared" si="150"/>
        <v>3230000</v>
      </c>
      <c r="Y583" s="68">
        <f t="shared" si="155"/>
        <v>0</v>
      </c>
      <c r="Z583" s="68">
        <f t="shared" si="152"/>
        <v>0</v>
      </c>
      <c r="AA583" s="68"/>
      <c r="AB583" s="68">
        <v>0</v>
      </c>
      <c r="AC583" s="69">
        <f t="shared" si="153"/>
        <v>5282000</v>
      </c>
      <c r="AD583" s="70">
        <v>0</v>
      </c>
      <c r="AE583" s="1">
        <v>40422</v>
      </c>
      <c r="AF583" s="72">
        <v>50562</v>
      </c>
      <c r="AG583" s="63" t="s">
        <v>954</v>
      </c>
      <c r="AH583" s="23" t="s">
        <v>955</v>
      </c>
      <c r="AI583" s="60">
        <v>20729</v>
      </c>
      <c r="AJ583" s="124" t="s">
        <v>1323</v>
      </c>
      <c r="AK583" s="121" t="s">
        <v>1002</v>
      </c>
      <c r="AL583" s="107"/>
      <c r="AM583" s="108"/>
      <c r="AN583" s="109"/>
      <c r="AO583" s="108"/>
      <c r="AP583" s="108"/>
      <c r="AQ583" s="108"/>
      <c r="AR583" s="108"/>
      <c r="AS583" s="108"/>
      <c r="AT583" s="108"/>
      <c r="AU583" s="108"/>
      <c r="AV583" s="108"/>
      <c r="AW583" s="108"/>
      <c r="AX583" s="108"/>
      <c r="AY583" s="108"/>
      <c r="AZ583" s="108"/>
      <c r="BA583" s="108"/>
      <c r="BB583" s="108"/>
      <c r="BC583" s="108"/>
      <c r="BD583" s="108"/>
      <c r="BE583" s="108"/>
      <c r="BF583" s="108"/>
      <c r="BG583" s="108"/>
      <c r="BH583" s="108"/>
      <c r="BI583" s="108"/>
      <c r="BJ583" s="108"/>
      <c r="BK583" s="108"/>
      <c r="BL583" s="108"/>
      <c r="BM583" s="108"/>
      <c r="BN583" s="108"/>
      <c r="BO583" s="108"/>
      <c r="BP583" s="108"/>
      <c r="BQ583" s="108"/>
      <c r="BR583" s="108"/>
      <c r="BS583" s="108"/>
      <c r="BT583" s="108"/>
      <c r="BU583" s="108"/>
      <c r="BV583" s="108"/>
      <c r="BW583" s="108"/>
      <c r="BX583" s="108"/>
      <c r="BY583" s="108"/>
      <c r="BZ583" s="108"/>
      <c r="CA583" s="108"/>
      <c r="CB583" s="108"/>
      <c r="CC583" s="108"/>
      <c r="CD583" s="108"/>
      <c r="CE583" s="108"/>
      <c r="CF583" s="108"/>
      <c r="CG583" s="108"/>
      <c r="CH583" s="108"/>
      <c r="CI583" s="108"/>
      <c r="CJ583" s="108"/>
      <c r="CK583" s="108"/>
      <c r="CL583" s="108">
        <v>38</v>
      </c>
      <c r="CM583" s="108">
        <f>38*18000</f>
        <v>684000</v>
      </c>
      <c r="CN583" s="110"/>
      <c r="CO583" s="111"/>
      <c r="CP583" s="110">
        <v>38</v>
      </c>
      <c r="CQ583" s="111">
        <f>38*36000</f>
        <v>1368000</v>
      </c>
      <c r="CR583" s="110"/>
      <c r="CS583" s="111"/>
      <c r="CT583" s="112">
        <f t="shared" si="154"/>
        <v>2052000</v>
      </c>
      <c r="CU583" s="113"/>
      <c r="CV583" s="114"/>
      <c r="CW583" s="115">
        <v>38</v>
      </c>
      <c r="CX583" s="116">
        <f>38*85000</f>
        <v>3230000</v>
      </c>
      <c r="CY583" s="117"/>
      <c r="CZ583" s="116"/>
      <c r="DA583" s="113"/>
      <c r="DB583" s="114"/>
      <c r="DC583" s="64"/>
      <c r="DD583" s="118"/>
    </row>
    <row r="584" spans="1:108" ht="22.5" outlineLevel="2">
      <c r="A584" s="178">
        <v>40391</v>
      </c>
      <c r="B584" s="174" t="s">
        <v>1142</v>
      </c>
      <c r="C584" s="174" t="s">
        <v>2264</v>
      </c>
      <c r="D584" s="179" t="s">
        <v>1262</v>
      </c>
      <c r="E584" s="163"/>
      <c r="F584" s="105"/>
      <c r="G584" s="105"/>
      <c r="H584" s="105">
        <f>2118*5</f>
        <v>10590</v>
      </c>
      <c r="I584" s="105">
        <v>2118</v>
      </c>
      <c r="J584" s="105"/>
      <c r="K584" s="105">
        <v>2118</v>
      </c>
      <c r="L584" s="105"/>
      <c r="M584" s="105"/>
      <c r="N584" s="105"/>
      <c r="O584" s="105"/>
      <c r="P584" s="105"/>
      <c r="Q584" s="105"/>
      <c r="R584" s="105"/>
      <c r="S584" s="105"/>
      <c r="T584" s="106"/>
      <c r="U584" s="130"/>
      <c r="V584" s="1">
        <v>40427</v>
      </c>
      <c r="W584" s="68">
        <f t="shared" si="149"/>
        <v>108000000</v>
      </c>
      <c r="X584" s="68">
        <f t="shared" si="150"/>
        <v>170000000</v>
      </c>
      <c r="Y584" s="68">
        <f t="shared" si="155"/>
        <v>0</v>
      </c>
      <c r="Z584" s="68">
        <f t="shared" si="152"/>
        <v>0</v>
      </c>
      <c r="AA584" s="68"/>
      <c r="AB584" s="68">
        <v>0</v>
      </c>
      <c r="AC584" s="69">
        <f t="shared" si="153"/>
        <v>278000000</v>
      </c>
      <c r="AD584" s="70">
        <v>0</v>
      </c>
      <c r="AE584" s="1">
        <v>40393</v>
      </c>
      <c r="AF584" s="72">
        <v>38583</v>
      </c>
      <c r="AG584" s="63" t="s">
        <v>954</v>
      </c>
      <c r="AH584" s="23" t="s">
        <v>955</v>
      </c>
      <c r="AI584" s="75" t="s">
        <v>1321</v>
      </c>
      <c r="AJ584" s="133" t="s">
        <v>1730</v>
      </c>
      <c r="AK584" s="121" t="s">
        <v>1960</v>
      </c>
      <c r="AL584" s="107"/>
      <c r="AM584" s="108"/>
      <c r="AN584" s="109"/>
      <c r="AO584" s="108"/>
      <c r="AP584" s="108"/>
      <c r="AQ584" s="108"/>
      <c r="AR584" s="108"/>
      <c r="AS584" s="108"/>
      <c r="AT584" s="108"/>
      <c r="AU584" s="108"/>
      <c r="AV584" s="108"/>
      <c r="AW584" s="108"/>
      <c r="AX584" s="108"/>
      <c r="AY584" s="108"/>
      <c r="AZ584" s="108"/>
      <c r="BA584" s="108"/>
      <c r="BB584" s="108"/>
      <c r="BC584" s="108"/>
      <c r="BD584" s="108"/>
      <c r="BE584" s="108"/>
      <c r="BF584" s="108"/>
      <c r="BG584" s="108"/>
      <c r="BH584" s="108"/>
      <c r="BI584" s="108"/>
      <c r="BJ584" s="108"/>
      <c r="BK584" s="108"/>
      <c r="BL584" s="108"/>
      <c r="BM584" s="108"/>
      <c r="BN584" s="108"/>
      <c r="BO584" s="108"/>
      <c r="BP584" s="108"/>
      <c r="BQ584" s="108"/>
      <c r="BR584" s="108"/>
      <c r="BS584" s="108"/>
      <c r="BT584" s="108"/>
      <c r="BU584" s="108"/>
      <c r="BV584" s="108"/>
      <c r="BW584" s="108"/>
      <c r="BX584" s="108"/>
      <c r="BY584" s="108"/>
      <c r="BZ584" s="108"/>
      <c r="CA584" s="108"/>
      <c r="CB584" s="108"/>
      <c r="CC584" s="108"/>
      <c r="CD584" s="108"/>
      <c r="CE584" s="108"/>
      <c r="CF584" s="108"/>
      <c r="CG584" s="108"/>
      <c r="CH584" s="108"/>
      <c r="CI584" s="108"/>
      <c r="CJ584" s="108"/>
      <c r="CK584" s="108"/>
      <c r="CL584" s="108">
        <v>2000</v>
      </c>
      <c r="CM584" s="108">
        <f>2000*18000</f>
        <v>36000000</v>
      </c>
      <c r="CN584" s="110"/>
      <c r="CO584" s="111"/>
      <c r="CP584" s="110">
        <v>2000</v>
      </c>
      <c r="CQ584" s="111">
        <f>2000*36000</f>
        <v>72000000</v>
      </c>
      <c r="CR584" s="110"/>
      <c r="CS584" s="111"/>
      <c r="CT584" s="112">
        <f t="shared" si="154"/>
        <v>108000000</v>
      </c>
      <c r="CU584" s="113"/>
      <c r="CV584" s="114"/>
      <c r="CW584" s="115">
        <v>2000</v>
      </c>
      <c r="CX584" s="116">
        <f>2000*85000</f>
        <v>170000000</v>
      </c>
      <c r="CY584" s="117"/>
      <c r="CZ584" s="116"/>
      <c r="DA584" s="113"/>
      <c r="DB584" s="114"/>
      <c r="DC584" s="64"/>
      <c r="DD584" s="126"/>
    </row>
    <row r="585" spans="1:108" outlineLevel="2">
      <c r="A585" s="178">
        <v>40391</v>
      </c>
      <c r="B585" s="174" t="s">
        <v>1142</v>
      </c>
      <c r="C585" s="174" t="s">
        <v>2268</v>
      </c>
      <c r="D585" s="179" t="s">
        <v>1262</v>
      </c>
      <c r="E585" s="163"/>
      <c r="F585" s="105"/>
      <c r="G585" s="105"/>
      <c r="H585" s="105">
        <f>110*5</f>
        <v>550</v>
      </c>
      <c r="I585" s="105">
        <v>110</v>
      </c>
      <c r="J585" s="105"/>
      <c r="K585" s="105">
        <v>110</v>
      </c>
      <c r="L585" s="105"/>
      <c r="M585" s="105"/>
      <c r="N585" s="105"/>
      <c r="O585" s="105"/>
      <c r="P585" s="105"/>
      <c r="Q585" s="105"/>
      <c r="R585" s="105"/>
      <c r="S585" s="105"/>
      <c r="T585" s="106"/>
      <c r="U585" s="130"/>
      <c r="V585" s="1"/>
      <c r="W585" s="68">
        <f t="shared" si="149"/>
        <v>0</v>
      </c>
      <c r="X585" s="68">
        <f t="shared" si="150"/>
        <v>0</v>
      </c>
      <c r="Y585" s="68">
        <f t="shared" si="155"/>
        <v>0</v>
      </c>
      <c r="Z585" s="68">
        <f t="shared" si="152"/>
        <v>0</v>
      </c>
      <c r="AA585" s="68"/>
      <c r="AB585" s="68">
        <v>0</v>
      </c>
      <c r="AC585" s="69">
        <f t="shared" si="153"/>
        <v>0</v>
      </c>
      <c r="AD585" s="70">
        <v>0</v>
      </c>
      <c r="AE585" s="63">
        <v>40422</v>
      </c>
      <c r="AF585" s="72"/>
      <c r="AG585" s="63" t="s">
        <v>938</v>
      </c>
      <c r="AH585" s="23" t="s">
        <v>939</v>
      </c>
      <c r="AI585" s="60"/>
      <c r="AJ585" s="124" t="s">
        <v>2270</v>
      </c>
      <c r="AK585" s="121" t="s">
        <v>1960</v>
      </c>
      <c r="AL585" s="107"/>
      <c r="AM585" s="108"/>
      <c r="AN585" s="109"/>
      <c r="AO585" s="108"/>
      <c r="AP585" s="108"/>
      <c r="AQ585" s="108"/>
      <c r="AR585" s="108"/>
      <c r="AS585" s="108"/>
      <c r="AT585" s="108"/>
      <c r="AU585" s="108"/>
      <c r="AV585" s="108"/>
      <c r="AW585" s="108"/>
      <c r="AX585" s="108"/>
      <c r="AY585" s="108"/>
      <c r="AZ585" s="108"/>
      <c r="BA585" s="108"/>
      <c r="BB585" s="108"/>
      <c r="BC585" s="108"/>
      <c r="BD585" s="108"/>
      <c r="BE585" s="108"/>
      <c r="BF585" s="108"/>
      <c r="BG585" s="108"/>
      <c r="BH585" s="108"/>
      <c r="BI585" s="108"/>
      <c r="BJ585" s="108"/>
      <c r="BK585" s="108"/>
      <c r="BL585" s="108"/>
      <c r="BM585" s="108"/>
      <c r="BN585" s="108"/>
      <c r="BO585" s="108"/>
      <c r="BP585" s="108"/>
      <c r="BQ585" s="108"/>
      <c r="BR585" s="108"/>
      <c r="BS585" s="108"/>
      <c r="BT585" s="108"/>
      <c r="BU585" s="108"/>
      <c r="BV585" s="108"/>
      <c r="BW585" s="108"/>
      <c r="BX585" s="108"/>
      <c r="BY585" s="108"/>
      <c r="BZ585" s="108"/>
      <c r="CA585" s="108"/>
      <c r="CB585" s="108"/>
      <c r="CC585" s="108"/>
      <c r="CD585" s="108"/>
      <c r="CE585" s="108"/>
      <c r="CF585" s="108"/>
      <c r="CG585" s="108"/>
      <c r="CH585" s="108"/>
      <c r="CI585" s="108"/>
      <c r="CJ585" s="108"/>
      <c r="CK585" s="108"/>
      <c r="CL585" s="108"/>
      <c r="CM585" s="108"/>
      <c r="CN585" s="110"/>
      <c r="CO585" s="111"/>
      <c r="CP585" s="110"/>
      <c r="CQ585" s="111"/>
      <c r="CR585" s="110"/>
      <c r="CS585" s="111"/>
      <c r="CT585" s="112">
        <f t="shared" si="154"/>
        <v>0</v>
      </c>
      <c r="CU585" s="113"/>
      <c r="CV585" s="114"/>
      <c r="CW585" s="115"/>
      <c r="CX585" s="116"/>
      <c r="CY585" s="117"/>
      <c r="CZ585" s="116"/>
      <c r="DA585" s="113"/>
      <c r="DB585" s="114"/>
      <c r="DC585" s="64"/>
      <c r="DD585" s="118"/>
    </row>
    <row r="586" spans="1:108" ht="60" outlineLevel="2">
      <c r="A586" s="178">
        <v>40391</v>
      </c>
      <c r="B586" s="82" t="s">
        <v>1142</v>
      </c>
      <c r="C586" s="82" t="s">
        <v>1103</v>
      </c>
      <c r="D586" s="165" t="s">
        <v>1262</v>
      </c>
      <c r="E586" s="167"/>
      <c r="F586" s="66"/>
      <c r="G586" s="66"/>
      <c r="H586" s="66">
        <f>1047*5</f>
        <v>5235</v>
      </c>
      <c r="I586" s="66">
        <v>1047</v>
      </c>
      <c r="J586" s="66"/>
      <c r="K586" s="66">
        <v>1047</v>
      </c>
      <c r="L586" s="66"/>
      <c r="M586" s="66"/>
      <c r="N586" s="66"/>
      <c r="O586" s="66"/>
      <c r="P586" s="66"/>
      <c r="Q586" s="66"/>
      <c r="R586" s="66"/>
      <c r="S586" s="66"/>
      <c r="T586" s="67"/>
      <c r="U586" s="151"/>
      <c r="V586" s="1"/>
      <c r="W586" s="68">
        <f t="shared" si="149"/>
        <v>0</v>
      </c>
      <c r="X586" s="68">
        <f t="shared" si="150"/>
        <v>0</v>
      </c>
      <c r="Y586" s="68">
        <f t="shared" si="155"/>
        <v>0</v>
      </c>
      <c r="Z586" s="68">
        <f t="shared" si="152"/>
        <v>0</v>
      </c>
      <c r="AA586" s="68"/>
      <c r="AB586" s="68">
        <v>0</v>
      </c>
      <c r="AC586" s="69">
        <f t="shared" si="153"/>
        <v>0</v>
      </c>
      <c r="AD586" s="70">
        <v>0</v>
      </c>
      <c r="AE586" s="63">
        <v>40379</v>
      </c>
      <c r="AF586" s="72"/>
      <c r="AG586" s="63" t="s">
        <v>938</v>
      </c>
      <c r="AH586" s="23" t="s">
        <v>939</v>
      </c>
      <c r="AI586" s="60"/>
      <c r="AJ586" s="133" t="s">
        <v>2270</v>
      </c>
      <c r="AK586" s="73" t="s">
        <v>1520</v>
      </c>
      <c r="AL586" s="3"/>
      <c r="AM586" s="4"/>
      <c r="AN586" s="5"/>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6"/>
      <c r="CO586" s="7"/>
      <c r="CP586" s="6"/>
      <c r="CQ586" s="7"/>
      <c r="CR586" s="6"/>
      <c r="CS586" s="7"/>
      <c r="CT586" s="8">
        <f t="shared" si="154"/>
        <v>0</v>
      </c>
      <c r="CU586" s="9"/>
      <c r="CV586" s="10"/>
      <c r="CW586" s="11"/>
      <c r="CX586" s="12"/>
      <c r="CY586" s="26"/>
      <c r="CZ586" s="12"/>
      <c r="DA586" s="9"/>
      <c r="DB586" s="10"/>
      <c r="DC586" s="64"/>
    </row>
    <row r="587" spans="1:108" outlineLevel="2">
      <c r="A587" s="178">
        <v>40391</v>
      </c>
      <c r="B587" s="174" t="s">
        <v>1142</v>
      </c>
      <c r="C587" s="174" t="s">
        <v>1594</v>
      </c>
      <c r="D587" s="179" t="s">
        <v>1262</v>
      </c>
      <c r="E587" s="163"/>
      <c r="F587" s="105"/>
      <c r="G587" s="105"/>
      <c r="H587" s="105">
        <f>30*5</f>
        <v>150</v>
      </c>
      <c r="I587" s="105">
        <v>30</v>
      </c>
      <c r="J587" s="105"/>
      <c r="K587" s="105">
        <v>30</v>
      </c>
      <c r="L587" s="105"/>
      <c r="M587" s="105"/>
      <c r="N587" s="105"/>
      <c r="O587" s="105"/>
      <c r="P587" s="105"/>
      <c r="Q587" s="105"/>
      <c r="R587" s="105"/>
      <c r="S587" s="105"/>
      <c r="T587" s="106"/>
      <c r="U587" s="130"/>
      <c r="V587" s="1"/>
      <c r="W587" s="68">
        <f t="shared" si="149"/>
        <v>0</v>
      </c>
      <c r="X587" s="68">
        <f t="shared" si="150"/>
        <v>0</v>
      </c>
      <c r="Y587" s="68">
        <f t="shared" si="155"/>
        <v>0</v>
      </c>
      <c r="Z587" s="68">
        <f t="shared" si="152"/>
        <v>0</v>
      </c>
      <c r="AA587" s="68"/>
      <c r="AB587" s="68">
        <v>0</v>
      </c>
      <c r="AC587" s="69">
        <f t="shared" si="153"/>
        <v>0</v>
      </c>
      <c r="AD587" s="70">
        <v>0</v>
      </c>
      <c r="AE587" s="63">
        <v>40422</v>
      </c>
      <c r="AF587" s="72"/>
      <c r="AG587" s="63" t="s">
        <v>938</v>
      </c>
      <c r="AH587" s="23" t="s">
        <v>939</v>
      </c>
      <c r="AI587" s="60"/>
      <c r="AJ587" s="124" t="s">
        <v>2270</v>
      </c>
      <c r="AK587" s="121" t="s">
        <v>1960</v>
      </c>
      <c r="AL587" s="107"/>
      <c r="AM587" s="108"/>
      <c r="AN587" s="109"/>
      <c r="AO587" s="108"/>
      <c r="AP587" s="108"/>
      <c r="AQ587" s="108"/>
      <c r="AR587" s="108"/>
      <c r="AS587" s="108"/>
      <c r="AT587" s="108"/>
      <c r="AU587" s="108"/>
      <c r="AV587" s="108"/>
      <c r="AW587" s="108"/>
      <c r="AX587" s="108"/>
      <c r="AY587" s="108"/>
      <c r="AZ587" s="108"/>
      <c r="BA587" s="108"/>
      <c r="BB587" s="108"/>
      <c r="BC587" s="108"/>
      <c r="BD587" s="108"/>
      <c r="BE587" s="108"/>
      <c r="BF587" s="108"/>
      <c r="BG587" s="108"/>
      <c r="BH587" s="108"/>
      <c r="BI587" s="108"/>
      <c r="BJ587" s="108"/>
      <c r="BK587" s="108"/>
      <c r="BL587" s="108"/>
      <c r="BM587" s="108"/>
      <c r="BN587" s="108"/>
      <c r="BO587" s="108"/>
      <c r="BP587" s="108"/>
      <c r="BQ587" s="108"/>
      <c r="BR587" s="108"/>
      <c r="BS587" s="108"/>
      <c r="BT587" s="108"/>
      <c r="BU587" s="108"/>
      <c r="BV587" s="108"/>
      <c r="BW587" s="108"/>
      <c r="BX587" s="108"/>
      <c r="BY587" s="108"/>
      <c r="BZ587" s="108"/>
      <c r="CA587" s="108"/>
      <c r="CB587" s="108"/>
      <c r="CC587" s="108"/>
      <c r="CD587" s="108"/>
      <c r="CE587" s="108"/>
      <c r="CF587" s="108"/>
      <c r="CG587" s="108"/>
      <c r="CH587" s="108"/>
      <c r="CI587" s="108"/>
      <c r="CJ587" s="108"/>
      <c r="CK587" s="108"/>
      <c r="CL587" s="108"/>
      <c r="CM587" s="108"/>
      <c r="CN587" s="110"/>
      <c r="CO587" s="111"/>
      <c r="CP587" s="110"/>
      <c r="CQ587" s="111"/>
      <c r="CR587" s="110"/>
      <c r="CS587" s="111"/>
      <c r="CT587" s="112">
        <f t="shared" si="154"/>
        <v>0</v>
      </c>
      <c r="CU587" s="113"/>
      <c r="CV587" s="114"/>
      <c r="CW587" s="115"/>
      <c r="CX587" s="116"/>
      <c r="CY587" s="117"/>
      <c r="CZ587" s="116"/>
      <c r="DA587" s="113"/>
      <c r="DB587" s="114"/>
      <c r="DC587" s="64"/>
      <c r="DD587" s="118"/>
    </row>
    <row r="588" spans="1:108" outlineLevel="2">
      <c r="A588" s="178">
        <v>40391</v>
      </c>
      <c r="B588" s="174" t="s">
        <v>1142</v>
      </c>
      <c r="C588" s="174" t="s">
        <v>2267</v>
      </c>
      <c r="D588" s="179" t="s">
        <v>1262</v>
      </c>
      <c r="E588" s="163"/>
      <c r="F588" s="105"/>
      <c r="G588" s="105"/>
      <c r="H588" s="105">
        <f>600*5</f>
        <v>3000</v>
      </c>
      <c r="I588" s="105">
        <v>600</v>
      </c>
      <c r="J588" s="105"/>
      <c r="K588" s="105">
        <v>600</v>
      </c>
      <c r="L588" s="105"/>
      <c r="M588" s="105"/>
      <c r="N588" s="105"/>
      <c r="O588" s="105"/>
      <c r="P588" s="105"/>
      <c r="Q588" s="105"/>
      <c r="R588" s="105"/>
      <c r="S588" s="105"/>
      <c r="T588" s="106"/>
      <c r="U588" s="130"/>
      <c r="V588" s="1"/>
      <c r="W588" s="68">
        <f t="shared" si="149"/>
        <v>0</v>
      </c>
      <c r="X588" s="68">
        <f t="shared" si="150"/>
        <v>0</v>
      </c>
      <c r="Y588" s="68">
        <f t="shared" si="155"/>
        <v>0</v>
      </c>
      <c r="Z588" s="68">
        <f t="shared" si="152"/>
        <v>0</v>
      </c>
      <c r="AA588" s="68"/>
      <c r="AB588" s="68">
        <v>0</v>
      </c>
      <c r="AC588" s="69">
        <f t="shared" si="153"/>
        <v>0</v>
      </c>
      <c r="AD588" s="70">
        <v>0</v>
      </c>
      <c r="AE588" s="63">
        <v>40422</v>
      </c>
      <c r="AF588" s="72"/>
      <c r="AG588" s="63" t="s">
        <v>938</v>
      </c>
      <c r="AH588" s="23" t="s">
        <v>939</v>
      </c>
      <c r="AI588" s="60"/>
      <c r="AJ588" s="124" t="s">
        <v>2270</v>
      </c>
      <c r="AK588" s="121" t="s">
        <v>1960</v>
      </c>
      <c r="AL588" s="107"/>
      <c r="AM588" s="108"/>
      <c r="AN588" s="109"/>
      <c r="AO588" s="108"/>
      <c r="AP588" s="108"/>
      <c r="AQ588" s="108"/>
      <c r="AR588" s="108"/>
      <c r="AS588" s="108"/>
      <c r="AT588" s="108"/>
      <c r="AU588" s="108"/>
      <c r="AV588" s="108"/>
      <c r="AW588" s="108"/>
      <c r="AX588" s="108"/>
      <c r="AY588" s="108"/>
      <c r="AZ588" s="108"/>
      <c r="BA588" s="108"/>
      <c r="BB588" s="108"/>
      <c r="BC588" s="108"/>
      <c r="BD588" s="108"/>
      <c r="BE588" s="108"/>
      <c r="BF588" s="108"/>
      <c r="BG588" s="108"/>
      <c r="BH588" s="108"/>
      <c r="BI588" s="108"/>
      <c r="BJ588" s="108"/>
      <c r="BK588" s="108"/>
      <c r="BL588" s="108"/>
      <c r="BM588" s="108"/>
      <c r="BN588" s="108"/>
      <c r="BO588" s="108"/>
      <c r="BP588" s="108"/>
      <c r="BQ588" s="108"/>
      <c r="BR588" s="108"/>
      <c r="BS588" s="108"/>
      <c r="BT588" s="108"/>
      <c r="BU588" s="108"/>
      <c r="BV588" s="108"/>
      <c r="BW588" s="108"/>
      <c r="BX588" s="108"/>
      <c r="BY588" s="108"/>
      <c r="BZ588" s="108"/>
      <c r="CA588" s="108"/>
      <c r="CB588" s="108"/>
      <c r="CC588" s="108"/>
      <c r="CD588" s="108"/>
      <c r="CE588" s="108"/>
      <c r="CF588" s="108"/>
      <c r="CG588" s="108"/>
      <c r="CH588" s="108"/>
      <c r="CI588" s="108"/>
      <c r="CJ588" s="108"/>
      <c r="CK588" s="108"/>
      <c r="CL588" s="108"/>
      <c r="CM588" s="108"/>
      <c r="CN588" s="110"/>
      <c r="CO588" s="111"/>
      <c r="CP588" s="110"/>
      <c r="CQ588" s="111"/>
      <c r="CR588" s="110"/>
      <c r="CS588" s="111"/>
      <c r="CT588" s="112">
        <f t="shared" si="154"/>
        <v>0</v>
      </c>
      <c r="CU588" s="113"/>
      <c r="CV588" s="114"/>
      <c r="CW588" s="115"/>
      <c r="CX588" s="116"/>
      <c r="CY588" s="117"/>
      <c r="CZ588" s="116"/>
      <c r="DA588" s="113"/>
      <c r="DB588" s="114"/>
      <c r="DC588" s="64"/>
      <c r="DD588" s="118"/>
    </row>
    <row r="589" spans="1:108" ht="22.5" outlineLevel="2">
      <c r="A589" s="178">
        <v>40391</v>
      </c>
      <c r="B589" s="174" t="s">
        <v>1142</v>
      </c>
      <c r="C589" s="174" t="s">
        <v>2265</v>
      </c>
      <c r="D589" s="179" t="s">
        <v>435</v>
      </c>
      <c r="E589" s="163"/>
      <c r="F589" s="105"/>
      <c r="G589" s="105"/>
      <c r="H589" s="105">
        <f>105*5</f>
        <v>525</v>
      </c>
      <c r="I589" s="105">
        <v>105</v>
      </c>
      <c r="J589" s="105"/>
      <c r="K589" s="105">
        <v>105</v>
      </c>
      <c r="L589" s="105"/>
      <c r="M589" s="105"/>
      <c r="N589" s="105"/>
      <c r="O589" s="105"/>
      <c r="P589" s="105"/>
      <c r="Q589" s="105"/>
      <c r="R589" s="105"/>
      <c r="S589" s="105"/>
      <c r="T589" s="106"/>
      <c r="U589" s="130"/>
      <c r="V589" s="1">
        <v>40427</v>
      </c>
      <c r="W589" s="68">
        <f t="shared" si="149"/>
        <v>5670000</v>
      </c>
      <c r="X589" s="68">
        <f t="shared" si="150"/>
        <v>8925000</v>
      </c>
      <c r="Y589" s="68">
        <f t="shared" si="155"/>
        <v>0</v>
      </c>
      <c r="Z589" s="68">
        <f t="shared" si="152"/>
        <v>0</v>
      </c>
      <c r="AA589" s="68"/>
      <c r="AB589" s="68">
        <v>0</v>
      </c>
      <c r="AC589" s="69">
        <f t="shared" si="153"/>
        <v>14595000</v>
      </c>
      <c r="AD589" s="70">
        <v>0</v>
      </c>
      <c r="AE589" s="63">
        <v>40393</v>
      </c>
      <c r="AF589" s="72">
        <v>38583</v>
      </c>
      <c r="AG589" s="63" t="s">
        <v>954</v>
      </c>
      <c r="AH589" s="23" t="s">
        <v>955</v>
      </c>
      <c r="AI589" s="75" t="s">
        <v>1321</v>
      </c>
      <c r="AJ589" s="133" t="s">
        <v>1730</v>
      </c>
      <c r="AK589" s="121" t="s">
        <v>1960</v>
      </c>
      <c r="AL589" s="107"/>
      <c r="AM589" s="108"/>
      <c r="AN589" s="109"/>
      <c r="AO589" s="108"/>
      <c r="AP589" s="108"/>
      <c r="AQ589" s="108"/>
      <c r="AR589" s="108"/>
      <c r="AS589" s="108"/>
      <c r="AT589" s="108"/>
      <c r="AU589" s="108"/>
      <c r="AV589" s="108"/>
      <c r="AW589" s="108"/>
      <c r="AX589" s="108"/>
      <c r="AY589" s="108"/>
      <c r="AZ589" s="108"/>
      <c r="BA589" s="108"/>
      <c r="BB589" s="108"/>
      <c r="BC589" s="108"/>
      <c r="BD589" s="108"/>
      <c r="BE589" s="108"/>
      <c r="BF589" s="108"/>
      <c r="BG589" s="108"/>
      <c r="BH589" s="108"/>
      <c r="BI589" s="108"/>
      <c r="BJ589" s="108"/>
      <c r="BK589" s="108"/>
      <c r="BL589" s="108"/>
      <c r="BM589" s="108"/>
      <c r="BN589" s="108"/>
      <c r="BO589" s="108"/>
      <c r="BP589" s="108"/>
      <c r="BQ589" s="108"/>
      <c r="BR589" s="108"/>
      <c r="BS589" s="108"/>
      <c r="BT589" s="108"/>
      <c r="BU589" s="108"/>
      <c r="BV589" s="108"/>
      <c r="BW589" s="108"/>
      <c r="BX589" s="108"/>
      <c r="BY589" s="108"/>
      <c r="BZ589" s="108"/>
      <c r="CA589" s="108"/>
      <c r="CB589" s="108"/>
      <c r="CC589" s="108"/>
      <c r="CD589" s="108"/>
      <c r="CE589" s="108"/>
      <c r="CF589" s="108"/>
      <c r="CG589" s="108"/>
      <c r="CH589" s="108"/>
      <c r="CI589" s="108"/>
      <c r="CJ589" s="108"/>
      <c r="CK589" s="108"/>
      <c r="CL589" s="108">
        <v>105</v>
      </c>
      <c r="CM589" s="108">
        <f>105*18000</f>
        <v>1890000</v>
      </c>
      <c r="CN589" s="110"/>
      <c r="CO589" s="111"/>
      <c r="CP589" s="110">
        <v>105</v>
      </c>
      <c r="CQ589" s="111">
        <f>105*36000</f>
        <v>3780000</v>
      </c>
      <c r="CR589" s="110"/>
      <c r="CS589" s="111"/>
      <c r="CT589" s="112">
        <f t="shared" si="154"/>
        <v>5670000</v>
      </c>
      <c r="CU589" s="113"/>
      <c r="CV589" s="114"/>
      <c r="CW589" s="115">
        <v>105</v>
      </c>
      <c r="CX589" s="116">
        <f>105*85000</f>
        <v>8925000</v>
      </c>
      <c r="CY589" s="117"/>
      <c r="CZ589" s="116"/>
      <c r="DA589" s="113"/>
      <c r="DB589" s="114"/>
      <c r="DC589" s="64"/>
      <c r="DD589" s="118"/>
    </row>
    <row r="590" spans="1:108" ht="36" outlineLevel="2">
      <c r="A590" s="178">
        <v>40391</v>
      </c>
      <c r="B590" s="174" t="s">
        <v>1142</v>
      </c>
      <c r="C590" s="174" t="s">
        <v>2266</v>
      </c>
      <c r="D590" s="179" t="s">
        <v>435</v>
      </c>
      <c r="E590" s="163"/>
      <c r="F590" s="105"/>
      <c r="G590" s="105"/>
      <c r="H590" s="105">
        <f>157*5</f>
        <v>785</v>
      </c>
      <c r="I590" s="105">
        <v>157</v>
      </c>
      <c r="J590" s="105"/>
      <c r="K590" s="105">
        <v>157</v>
      </c>
      <c r="L590" s="105">
        <v>3</v>
      </c>
      <c r="M590" s="105"/>
      <c r="N590" s="105"/>
      <c r="O590" s="105"/>
      <c r="P590" s="105"/>
      <c r="Q590" s="105"/>
      <c r="R590" s="105"/>
      <c r="S590" s="105"/>
      <c r="T590" s="106"/>
      <c r="U590" s="130"/>
      <c r="V590" s="1"/>
      <c r="W590" s="68">
        <f t="shared" si="149"/>
        <v>0</v>
      </c>
      <c r="X590" s="68">
        <f t="shared" si="150"/>
        <v>0</v>
      </c>
      <c r="Y590" s="68">
        <f t="shared" si="155"/>
        <v>0</v>
      </c>
      <c r="Z590" s="68">
        <f t="shared" si="152"/>
        <v>0</v>
      </c>
      <c r="AA590" s="68"/>
      <c r="AB590" s="68">
        <v>0</v>
      </c>
      <c r="AC590" s="69">
        <f t="shared" si="153"/>
        <v>0</v>
      </c>
      <c r="AD590" s="70">
        <v>0</v>
      </c>
      <c r="AE590" s="63">
        <v>40422</v>
      </c>
      <c r="AF590" s="72"/>
      <c r="AG590" s="63" t="s">
        <v>938</v>
      </c>
      <c r="AH590" s="23" t="s">
        <v>939</v>
      </c>
      <c r="AI590" s="60"/>
      <c r="AJ590" s="124" t="s">
        <v>2270</v>
      </c>
      <c r="AK590" s="121" t="s">
        <v>1014</v>
      </c>
      <c r="AL590" s="107"/>
      <c r="AM590" s="108"/>
      <c r="AN590" s="109"/>
      <c r="AO590" s="108"/>
      <c r="AP590" s="108"/>
      <c r="AQ590" s="108"/>
      <c r="AR590" s="108"/>
      <c r="AS590" s="108"/>
      <c r="AT590" s="108"/>
      <c r="AU590" s="108"/>
      <c r="AV590" s="108"/>
      <c r="AW590" s="108"/>
      <c r="AX590" s="108"/>
      <c r="AY590" s="108"/>
      <c r="AZ590" s="108"/>
      <c r="BA590" s="108"/>
      <c r="BB590" s="108"/>
      <c r="BC590" s="108"/>
      <c r="BD590" s="108"/>
      <c r="BE590" s="108"/>
      <c r="BF590" s="108"/>
      <c r="BG590" s="108"/>
      <c r="BH590" s="108"/>
      <c r="BI590" s="108"/>
      <c r="BJ590" s="108"/>
      <c r="BK590" s="108"/>
      <c r="BL590" s="108"/>
      <c r="BM590" s="108"/>
      <c r="BN590" s="108"/>
      <c r="BO590" s="108"/>
      <c r="BP590" s="108"/>
      <c r="BQ590" s="108"/>
      <c r="BR590" s="108"/>
      <c r="BS590" s="108"/>
      <c r="BT590" s="108"/>
      <c r="BU590" s="108"/>
      <c r="BV590" s="108"/>
      <c r="BW590" s="108"/>
      <c r="BX590" s="108"/>
      <c r="BY590" s="108"/>
      <c r="BZ590" s="108"/>
      <c r="CA590" s="108"/>
      <c r="CB590" s="108"/>
      <c r="CC590" s="108"/>
      <c r="CD590" s="108"/>
      <c r="CE590" s="108"/>
      <c r="CF590" s="108"/>
      <c r="CG590" s="108"/>
      <c r="CH590" s="108"/>
      <c r="CI590" s="108"/>
      <c r="CJ590" s="108"/>
      <c r="CK590" s="108"/>
      <c r="CL590" s="108"/>
      <c r="CM590" s="108"/>
      <c r="CN590" s="110"/>
      <c r="CO590" s="111"/>
      <c r="CP590" s="110"/>
      <c r="CQ590" s="111"/>
      <c r="CR590" s="110"/>
      <c r="CS590" s="111"/>
      <c r="CT590" s="112">
        <f t="shared" si="154"/>
        <v>0</v>
      </c>
      <c r="CU590" s="113"/>
      <c r="CV590" s="114"/>
      <c r="CW590" s="115"/>
      <c r="CX590" s="116"/>
      <c r="CY590" s="117"/>
      <c r="CZ590" s="116"/>
      <c r="DA590" s="113"/>
      <c r="DB590" s="114"/>
      <c r="DC590" s="64"/>
      <c r="DD590" s="118"/>
    </row>
    <row r="591" spans="1:108" ht="36" outlineLevel="2">
      <c r="A591" s="178">
        <v>40393</v>
      </c>
      <c r="B591" s="174" t="s">
        <v>1142</v>
      </c>
      <c r="C591" s="174" t="s">
        <v>2250</v>
      </c>
      <c r="D591" s="179" t="s">
        <v>1262</v>
      </c>
      <c r="E591" s="163"/>
      <c r="F591" s="105"/>
      <c r="G591" s="105"/>
      <c r="H591" s="105">
        <f>42*5</f>
        <v>210</v>
      </c>
      <c r="I591" s="105">
        <v>42</v>
      </c>
      <c r="J591" s="105"/>
      <c r="K591" s="105">
        <v>42</v>
      </c>
      <c r="L591" s="105">
        <v>1</v>
      </c>
      <c r="M591" s="105"/>
      <c r="N591" s="105"/>
      <c r="O591" s="105"/>
      <c r="P591" s="105"/>
      <c r="Q591" s="105"/>
      <c r="R591" s="105"/>
      <c r="S591" s="105"/>
      <c r="T591" s="106"/>
      <c r="U591" s="130"/>
      <c r="V591" s="1">
        <v>40427</v>
      </c>
      <c r="W591" s="68">
        <f t="shared" si="149"/>
        <v>2268000</v>
      </c>
      <c r="X591" s="68">
        <f t="shared" si="150"/>
        <v>3570000</v>
      </c>
      <c r="Y591" s="68">
        <f t="shared" si="155"/>
        <v>0</v>
      </c>
      <c r="Z591" s="68">
        <f t="shared" si="152"/>
        <v>0</v>
      </c>
      <c r="AA591" s="68"/>
      <c r="AB591" s="68">
        <v>0</v>
      </c>
      <c r="AC591" s="69">
        <f t="shared" si="153"/>
        <v>5838000</v>
      </c>
      <c r="AD591" s="70">
        <v>0</v>
      </c>
      <c r="AE591" s="63">
        <v>40393</v>
      </c>
      <c r="AF591" s="72">
        <v>38583</v>
      </c>
      <c r="AG591" s="63" t="s">
        <v>954</v>
      </c>
      <c r="AH591" s="23" t="s">
        <v>955</v>
      </c>
      <c r="AI591" s="75" t="s">
        <v>1321</v>
      </c>
      <c r="AJ591" s="133" t="s">
        <v>1730</v>
      </c>
      <c r="AK591" s="121" t="s">
        <v>1010</v>
      </c>
      <c r="AL591" s="107"/>
      <c r="AM591" s="108"/>
      <c r="AN591" s="109"/>
      <c r="AO591" s="108"/>
      <c r="AP591" s="108"/>
      <c r="AQ591" s="108"/>
      <c r="AR591" s="108"/>
      <c r="AS591" s="108"/>
      <c r="AT591" s="108"/>
      <c r="AU591" s="108"/>
      <c r="AV591" s="108"/>
      <c r="AW591" s="108"/>
      <c r="AX591" s="108"/>
      <c r="AY591" s="108"/>
      <c r="AZ591" s="108"/>
      <c r="BA591" s="108"/>
      <c r="BB591" s="108"/>
      <c r="BC591" s="108"/>
      <c r="BD591" s="108"/>
      <c r="BE591" s="108"/>
      <c r="BF591" s="108"/>
      <c r="BG591" s="108"/>
      <c r="BH591" s="108"/>
      <c r="BI591" s="108"/>
      <c r="BJ591" s="108"/>
      <c r="BK591" s="108"/>
      <c r="BL591" s="108"/>
      <c r="BM591" s="108"/>
      <c r="BN591" s="108"/>
      <c r="BO591" s="108"/>
      <c r="BP591" s="108"/>
      <c r="BQ591" s="108"/>
      <c r="BR591" s="108"/>
      <c r="BS591" s="108"/>
      <c r="BT591" s="108"/>
      <c r="BU591" s="108"/>
      <c r="BV591" s="108"/>
      <c r="BW591" s="108"/>
      <c r="BX591" s="108"/>
      <c r="BY591" s="108"/>
      <c r="BZ591" s="108"/>
      <c r="CA591" s="108"/>
      <c r="CB591" s="108"/>
      <c r="CC591" s="108"/>
      <c r="CD591" s="108"/>
      <c r="CE591" s="108"/>
      <c r="CF591" s="108"/>
      <c r="CG591" s="108"/>
      <c r="CH591" s="108"/>
      <c r="CI591" s="108"/>
      <c r="CJ591" s="108"/>
      <c r="CK591" s="108"/>
      <c r="CL591" s="108">
        <v>42</v>
      </c>
      <c r="CM591" s="108">
        <f>42*18000</f>
        <v>756000</v>
      </c>
      <c r="CN591" s="110"/>
      <c r="CO591" s="111"/>
      <c r="CP591" s="110">
        <v>42</v>
      </c>
      <c r="CQ591" s="111">
        <f>42*36000</f>
        <v>1512000</v>
      </c>
      <c r="CR591" s="110"/>
      <c r="CS591" s="111"/>
      <c r="CT591" s="112">
        <f t="shared" si="154"/>
        <v>2268000</v>
      </c>
      <c r="CU591" s="113"/>
      <c r="CV591" s="114"/>
      <c r="CW591" s="115">
        <v>42</v>
      </c>
      <c r="CX591" s="116">
        <f>42*85000</f>
        <v>3570000</v>
      </c>
      <c r="CY591" s="117"/>
      <c r="CZ591" s="116"/>
      <c r="DA591" s="113"/>
      <c r="DB591" s="114"/>
      <c r="DC591" s="64"/>
      <c r="DD591" s="118"/>
    </row>
    <row r="592" spans="1:108" outlineLevel="2">
      <c r="A592" s="178">
        <v>40393</v>
      </c>
      <c r="B592" s="164" t="s">
        <v>1142</v>
      </c>
      <c r="C592" s="164" t="s">
        <v>1329</v>
      </c>
      <c r="D592" s="166" t="s">
        <v>1262</v>
      </c>
      <c r="E592" s="163"/>
      <c r="F592" s="105"/>
      <c r="G592" s="105"/>
      <c r="H592" s="105">
        <v>10</v>
      </c>
      <c r="I592" s="105">
        <v>2</v>
      </c>
      <c r="J592" s="105"/>
      <c r="K592" s="105">
        <v>2</v>
      </c>
      <c r="L592" s="105"/>
      <c r="M592" s="105"/>
      <c r="N592" s="105"/>
      <c r="O592" s="105"/>
      <c r="P592" s="105"/>
      <c r="Q592" s="105"/>
      <c r="R592" s="105"/>
      <c r="S592" s="105"/>
      <c r="T592" s="106"/>
      <c r="U592" s="130"/>
      <c r="V592" s="1"/>
      <c r="W592" s="68">
        <f t="shared" si="149"/>
        <v>0</v>
      </c>
      <c r="X592" s="68">
        <f t="shared" si="150"/>
        <v>0</v>
      </c>
      <c r="Y592" s="68">
        <f t="shared" si="155"/>
        <v>0</v>
      </c>
      <c r="Z592" s="68">
        <f t="shared" si="152"/>
        <v>0</v>
      </c>
      <c r="AA592" s="68"/>
      <c r="AB592" s="68">
        <v>0</v>
      </c>
      <c r="AC592" s="69">
        <f t="shared" si="153"/>
        <v>0</v>
      </c>
      <c r="AD592" s="70">
        <v>0</v>
      </c>
      <c r="AE592" s="63"/>
      <c r="AF592" s="72"/>
      <c r="AG592" s="63" t="s">
        <v>938</v>
      </c>
      <c r="AH592" s="23" t="s">
        <v>939</v>
      </c>
      <c r="AI592" s="60"/>
      <c r="AJ592" s="124" t="s">
        <v>1608</v>
      </c>
      <c r="AK592" s="121"/>
      <c r="AL592" s="107"/>
      <c r="AM592" s="108"/>
      <c r="AN592" s="109"/>
      <c r="AO592" s="108"/>
      <c r="AP592" s="108"/>
      <c r="AQ592" s="108"/>
      <c r="AR592" s="108"/>
      <c r="AS592" s="108"/>
      <c r="AT592" s="108"/>
      <c r="AU592" s="108"/>
      <c r="AV592" s="108"/>
      <c r="AW592" s="108"/>
      <c r="AX592" s="108"/>
      <c r="AY592" s="108"/>
      <c r="AZ592" s="108"/>
      <c r="BA592" s="108"/>
      <c r="BB592" s="108"/>
      <c r="BC592" s="108"/>
      <c r="BD592" s="108"/>
      <c r="BE592" s="108"/>
      <c r="BF592" s="108"/>
      <c r="BG592" s="108"/>
      <c r="BH592" s="108"/>
      <c r="BI592" s="108"/>
      <c r="BJ592" s="108"/>
      <c r="BK592" s="108"/>
      <c r="BL592" s="108"/>
      <c r="BM592" s="108"/>
      <c r="BN592" s="108"/>
      <c r="BO592" s="108"/>
      <c r="BP592" s="108"/>
      <c r="BQ592" s="108"/>
      <c r="BR592" s="108"/>
      <c r="BS592" s="108"/>
      <c r="BT592" s="108"/>
      <c r="BU592" s="108"/>
      <c r="BV592" s="108"/>
      <c r="BW592" s="108"/>
      <c r="BX592" s="108"/>
      <c r="BY592" s="108"/>
      <c r="BZ592" s="108"/>
      <c r="CA592" s="108"/>
      <c r="CB592" s="108"/>
      <c r="CC592" s="108"/>
      <c r="CD592" s="108"/>
      <c r="CE592" s="108"/>
      <c r="CF592" s="108"/>
      <c r="CG592" s="108"/>
      <c r="CH592" s="108"/>
      <c r="CI592" s="108"/>
      <c r="CJ592" s="108"/>
      <c r="CK592" s="108"/>
      <c r="CL592" s="108"/>
      <c r="CM592" s="108"/>
      <c r="CN592" s="110"/>
      <c r="CO592" s="111"/>
      <c r="CP592" s="110"/>
      <c r="CQ592" s="111"/>
      <c r="CR592" s="110"/>
      <c r="CS592" s="111"/>
      <c r="CT592" s="112">
        <f t="shared" si="154"/>
        <v>0</v>
      </c>
      <c r="CU592" s="113"/>
      <c r="CV592" s="114"/>
      <c r="CW592" s="115"/>
      <c r="CX592" s="116"/>
      <c r="CY592" s="117"/>
      <c r="CZ592" s="116"/>
      <c r="DA592" s="113"/>
      <c r="DB592" s="114"/>
      <c r="DC592" s="64"/>
      <c r="DD592" s="118">
        <v>1297</v>
      </c>
    </row>
    <row r="593" spans="1:108" ht="33" outlineLevel="2">
      <c r="A593" s="178">
        <v>40415</v>
      </c>
      <c r="B593" s="174" t="s">
        <v>1142</v>
      </c>
      <c r="C593" s="174" t="s">
        <v>1519</v>
      </c>
      <c r="D593" s="165" t="s">
        <v>1182</v>
      </c>
      <c r="E593" s="163"/>
      <c r="F593" s="105"/>
      <c r="G593" s="105"/>
      <c r="H593" s="105">
        <v>45</v>
      </c>
      <c r="I593" s="105">
        <v>9</v>
      </c>
      <c r="J593" s="105">
        <v>2</v>
      </c>
      <c r="K593" s="105">
        <v>7</v>
      </c>
      <c r="L593" s="105">
        <v>1</v>
      </c>
      <c r="M593" s="105"/>
      <c r="N593" s="105"/>
      <c r="O593" s="105"/>
      <c r="P593" s="105"/>
      <c r="Q593" s="105"/>
      <c r="R593" s="105"/>
      <c r="S593" s="105"/>
      <c r="T593" s="106">
        <v>16</v>
      </c>
      <c r="U593" s="130" t="s">
        <v>1001</v>
      </c>
      <c r="V593" s="1"/>
      <c r="W593" s="68">
        <f t="shared" si="149"/>
        <v>0</v>
      </c>
      <c r="X593" s="68">
        <f t="shared" si="150"/>
        <v>0</v>
      </c>
      <c r="Y593" s="68">
        <f t="shared" si="155"/>
        <v>0</v>
      </c>
      <c r="Z593" s="68">
        <f t="shared" si="152"/>
        <v>0</v>
      </c>
      <c r="AA593" s="68"/>
      <c r="AB593" s="68">
        <v>0</v>
      </c>
      <c r="AC593" s="69">
        <f t="shared" si="153"/>
        <v>0</v>
      </c>
      <c r="AD593" s="70">
        <v>0</v>
      </c>
      <c r="AE593" s="63">
        <v>40418</v>
      </c>
      <c r="AF593" s="72"/>
      <c r="AG593" s="63" t="s">
        <v>938</v>
      </c>
      <c r="AH593" s="23" t="s">
        <v>939</v>
      </c>
      <c r="AI593" s="60"/>
      <c r="AJ593" s="124" t="s">
        <v>1608</v>
      </c>
      <c r="AK593" s="121" t="s">
        <v>2254</v>
      </c>
      <c r="AL593" s="107"/>
      <c r="AM593" s="108"/>
      <c r="AN593" s="109"/>
      <c r="AO593" s="108"/>
      <c r="AP593" s="108"/>
      <c r="AQ593" s="108"/>
      <c r="AR593" s="108"/>
      <c r="AS593" s="108"/>
      <c r="AT593" s="108"/>
      <c r="AU593" s="108"/>
      <c r="AV593" s="108"/>
      <c r="AW593" s="108"/>
      <c r="AX593" s="108"/>
      <c r="AY593" s="108"/>
      <c r="AZ593" s="108"/>
      <c r="BA593" s="108"/>
      <c r="BB593" s="108"/>
      <c r="BC593" s="108"/>
      <c r="BD593" s="108"/>
      <c r="BE593" s="108"/>
      <c r="BF593" s="108"/>
      <c r="BG593" s="108"/>
      <c r="BH593" s="108"/>
      <c r="BI593" s="108"/>
      <c r="BJ593" s="108"/>
      <c r="BK593" s="108"/>
      <c r="BL593" s="108"/>
      <c r="BM593" s="108"/>
      <c r="BN593" s="108"/>
      <c r="BO593" s="108"/>
      <c r="BP593" s="108"/>
      <c r="BQ593" s="108"/>
      <c r="BR593" s="108"/>
      <c r="BS593" s="108"/>
      <c r="BT593" s="108"/>
      <c r="BU593" s="108"/>
      <c r="BV593" s="108"/>
      <c r="BW593" s="108"/>
      <c r="BX593" s="108"/>
      <c r="BY593" s="108"/>
      <c r="BZ593" s="108"/>
      <c r="CA593" s="108"/>
      <c r="CB593" s="108"/>
      <c r="CC593" s="108"/>
      <c r="CD593" s="108"/>
      <c r="CE593" s="108"/>
      <c r="CF593" s="108"/>
      <c r="CG593" s="108"/>
      <c r="CH593" s="108"/>
      <c r="CI593" s="108"/>
      <c r="CJ593" s="108"/>
      <c r="CK593" s="108"/>
      <c r="CL593" s="108"/>
      <c r="CM593" s="108"/>
      <c r="CN593" s="110"/>
      <c r="CO593" s="111"/>
      <c r="CP593" s="110"/>
      <c r="CQ593" s="111"/>
      <c r="CR593" s="110"/>
      <c r="CS593" s="111"/>
      <c r="CT593" s="112">
        <f t="shared" si="154"/>
        <v>0</v>
      </c>
      <c r="CU593" s="113"/>
      <c r="CV593" s="114"/>
      <c r="CW593" s="115"/>
      <c r="CX593" s="116"/>
      <c r="CY593" s="117"/>
      <c r="CZ593" s="116"/>
      <c r="DA593" s="113"/>
      <c r="DB593" s="114"/>
      <c r="DC593" s="64"/>
      <c r="DD593" s="118"/>
    </row>
    <row r="594" spans="1:108" ht="48" outlineLevel="2">
      <c r="A594" s="178">
        <v>40416</v>
      </c>
      <c r="B594" s="164" t="s">
        <v>1142</v>
      </c>
      <c r="C594" s="164" t="s">
        <v>2325</v>
      </c>
      <c r="D594" s="166" t="s">
        <v>1262</v>
      </c>
      <c r="E594" s="163"/>
      <c r="F594" s="105"/>
      <c r="G594" s="105"/>
      <c r="H594" s="105"/>
      <c r="I594" s="105"/>
      <c r="J594" s="105"/>
      <c r="K594" s="105"/>
      <c r="L594" s="105">
        <v>3</v>
      </c>
      <c r="M594" s="105"/>
      <c r="N594" s="105"/>
      <c r="O594" s="105"/>
      <c r="P594" s="105"/>
      <c r="Q594" s="105"/>
      <c r="R594" s="105"/>
      <c r="S594" s="105"/>
      <c r="T594" s="106">
        <v>60</v>
      </c>
      <c r="U594" s="130" t="s">
        <v>1012</v>
      </c>
      <c r="V594" s="1"/>
      <c r="W594" s="68">
        <f t="shared" ref="W594:W623" si="156">CT594</f>
        <v>0</v>
      </c>
      <c r="X594" s="68">
        <f t="shared" ref="X594:X623" si="157">CX594</f>
        <v>0</v>
      </c>
      <c r="Y594" s="68">
        <f t="shared" si="155"/>
        <v>0</v>
      </c>
      <c r="Z594" s="68">
        <f t="shared" ref="Z594:Z623" si="158">CV594</f>
        <v>0</v>
      </c>
      <c r="AA594" s="68"/>
      <c r="AB594" s="68">
        <v>0</v>
      </c>
      <c r="AC594" s="69">
        <f t="shared" ref="AC594:AC623" si="159">W594+X594+Y594+Z594+AA594+AB594</f>
        <v>0</v>
      </c>
      <c r="AD594" s="70">
        <v>0</v>
      </c>
      <c r="AE594" s="63">
        <v>40471</v>
      </c>
      <c r="AF594" s="72"/>
      <c r="AG594" s="63" t="s">
        <v>938</v>
      </c>
      <c r="AH594" s="23" t="s">
        <v>939</v>
      </c>
      <c r="AI594" s="60"/>
      <c r="AJ594" s="124" t="s">
        <v>1608</v>
      </c>
      <c r="AK594" s="121" t="s">
        <v>1013</v>
      </c>
      <c r="AL594" s="107"/>
      <c r="AM594" s="108"/>
      <c r="AN594" s="109"/>
      <c r="AO594" s="108"/>
      <c r="AP594" s="108"/>
      <c r="AQ594" s="108"/>
      <c r="AR594" s="108"/>
      <c r="AS594" s="108"/>
      <c r="AT594" s="108"/>
      <c r="AU594" s="108"/>
      <c r="AV594" s="108"/>
      <c r="AW594" s="108"/>
      <c r="AX594" s="108"/>
      <c r="AY594" s="108"/>
      <c r="AZ594" s="108"/>
      <c r="BA594" s="108"/>
      <c r="BB594" s="108"/>
      <c r="BC594" s="108"/>
      <c r="BD594" s="108"/>
      <c r="BE594" s="108"/>
      <c r="BF594" s="108"/>
      <c r="BG594" s="108"/>
      <c r="BH594" s="108"/>
      <c r="BI594" s="108"/>
      <c r="BJ594" s="108"/>
      <c r="BK594" s="108"/>
      <c r="BL594" s="108"/>
      <c r="BM594" s="108"/>
      <c r="BN594" s="108"/>
      <c r="BO594" s="108"/>
      <c r="BP594" s="108"/>
      <c r="BQ594" s="108"/>
      <c r="BR594" s="108"/>
      <c r="BS594" s="108"/>
      <c r="BT594" s="108"/>
      <c r="BU594" s="108"/>
      <c r="BV594" s="108"/>
      <c r="BW594" s="108"/>
      <c r="BX594" s="108"/>
      <c r="BY594" s="108"/>
      <c r="BZ594" s="108"/>
      <c r="CA594" s="108"/>
      <c r="CB594" s="108"/>
      <c r="CC594" s="108"/>
      <c r="CD594" s="108"/>
      <c r="CE594" s="108"/>
      <c r="CF594" s="108"/>
      <c r="CG594" s="108"/>
      <c r="CH594" s="108"/>
      <c r="CI594" s="108"/>
      <c r="CJ594" s="108"/>
      <c r="CK594" s="108"/>
      <c r="CL594" s="108"/>
      <c r="CM594" s="108"/>
      <c r="CN594" s="110"/>
      <c r="CO594" s="111"/>
      <c r="CP594" s="110"/>
      <c r="CQ594" s="111"/>
      <c r="CR594" s="110"/>
      <c r="CS594" s="111"/>
      <c r="CT594" s="112">
        <f t="shared" ref="CT594:CT623" si="160">AM594+AO594+AQ594+AS594+AU594+AW594+AY594+BA594+BC594+BE594+BG594+BI594+BK594+BM594+BO594+BQ594+BS594+BU594+BW594+BY594+CA594+CC594+CE594+CG594+CI594+CK594+CM594+CO594+CQ594+CS594</f>
        <v>0</v>
      </c>
      <c r="CU594" s="113"/>
      <c r="CV594" s="114"/>
      <c r="CW594" s="115"/>
      <c r="CX594" s="116"/>
      <c r="CY594" s="117"/>
      <c r="CZ594" s="116"/>
      <c r="DA594" s="113"/>
      <c r="DB594" s="114"/>
      <c r="DC594" s="64"/>
      <c r="DD594" s="118"/>
    </row>
    <row r="595" spans="1:108" ht="24" outlineLevel="2">
      <c r="A595" s="178">
        <v>40436</v>
      </c>
      <c r="B595" s="164" t="s">
        <v>1142</v>
      </c>
      <c r="C595" s="164" t="s">
        <v>1588</v>
      </c>
      <c r="D595" s="166" t="s">
        <v>435</v>
      </c>
      <c r="E595" s="163"/>
      <c r="F595" s="105"/>
      <c r="G595" s="105"/>
      <c r="H595" s="131">
        <v>17</v>
      </c>
      <c r="I595" s="105">
        <v>3</v>
      </c>
      <c r="J595" s="105"/>
      <c r="K595" s="105">
        <v>3</v>
      </c>
      <c r="L595" s="105"/>
      <c r="M595" s="105"/>
      <c r="N595" s="105"/>
      <c r="O595" s="105"/>
      <c r="P595" s="105"/>
      <c r="Q595" s="105"/>
      <c r="R595" s="105"/>
      <c r="S595" s="105"/>
      <c r="T595" s="106"/>
      <c r="U595" s="130"/>
      <c r="V595" s="1"/>
      <c r="W595" s="68">
        <f t="shared" si="156"/>
        <v>0</v>
      </c>
      <c r="X595" s="68">
        <f t="shared" si="157"/>
        <v>0</v>
      </c>
      <c r="Y595" s="68">
        <f t="shared" si="155"/>
        <v>0</v>
      </c>
      <c r="Z595" s="68">
        <f t="shared" si="158"/>
        <v>0</v>
      </c>
      <c r="AA595" s="68"/>
      <c r="AB595" s="68">
        <v>0</v>
      </c>
      <c r="AC595" s="69">
        <f t="shared" si="159"/>
        <v>0</v>
      </c>
      <c r="AD595" s="70">
        <v>0</v>
      </c>
      <c r="AE595" s="63">
        <v>40441</v>
      </c>
      <c r="AF595" s="72"/>
      <c r="AG595" s="63" t="s">
        <v>938</v>
      </c>
      <c r="AH595" s="23" t="s">
        <v>939</v>
      </c>
      <c r="AI595" s="60"/>
      <c r="AJ595" s="124" t="s">
        <v>1608</v>
      </c>
      <c r="AK595" s="121" t="s">
        <v>1292</v>
      </c>
      <c r="AL595" s="107"/>
      <c r="AM595" s="108"/>
      <c r="AN595" s="109"/>
      <c r="AO595" s="108"/>
      <c r="AP595" s="108"/>
      <c r="AQ595" s="108"/>
      <c r="AR595" s="108"/>
      <c r="AS595" s="108"/>
      <c r="AT595" s="108"/>
      <c r="AU595" s="108"/>
      <c r="AV595" s="108"/>
      <c r="AW595" s="108"/>
      <c r="AX595" s="108"/>
      <c r="AY595" s="108"/>
      <c r="AZ595" s="108"/>
      <c r="BA595" s="108"/>
      <c r="BB595" s="108"/>
      <c r="BC595" s="108"/>
      <c r="BD595" s="108"/>
      <c r="BE595" s="108"/>
      <c r="BF595" s="108"/>
      <c r="BG595" s="108"/>
      <c r="BH595" s="108"/>
      <c r="BI595" s="108"/>
      <c r="BJ595" s="108"/>
      <c r="BK595" s="108"/>
      <c r="BL595" s="108"/>
      <c r="BM595" s="108"/>
      <c r="BN595" s="108"/>
      <c r="BO595" s="108"/>
      <c r="BP595" s="108"/>
      <c r="BQ595" s="108"/>
      <c r="BR595" s="108"/>
      <c r="BS595" s="108"/>
      <c r="BT595" s="108"/>
      <c r="BU595" s="108"/>
      <c r="BV595" s="108"/>
      <c r="BW595" s="108"/>
      <c r="BX595" s="108"/>
      <c r="BY595" s="108"/>
      <c r="BZ595" s="108"/>
      <c r="CA595" s="108"/>
      <c r="CB595" s="108"/>
      <c r="CC595" s="108"/>
      <c r="CD595" s="108"/>
      <c r="CE595" s="108"/>
      <c r="CF595" s="108"/>
      <c r="CG595" s="108"/>
      <c r="CH595" s="108"/>
      <c r="CI595" s="108"/>
      <c r="CJ595" s="108"/>
      <c r="CK595" s="108"/>
      <c r="CL595" s="108"/>
      <c r="CM595" s="108"/>
      <c r="CN595" s="110"/>
      <c r="CO595" s="111"/>
      <c r="CP595" s="110"/>
      <c r="CQ595" s="111"/>
      <c r="CR595" s="110"/>
      <c r="CS595" s="111"/>
      <c r="CT595" s="112">
        <f t="shared" si="160"/>
        <v>0</v>
      </c>
      <c r="CU595" s="113"/>
      <c r="CV595" s="114"/>
      <c r="CW595" s="115"/>
      <c r="CX595" s="116"/>
      <c r="CY595" s="117"/>
      <c r="CZ595" s="116"/>
      <c r="DA595" s="113"/>
      <c r="DB595" s="114"/>
      <c r="DC595" s="64"/>
      <c r="DD595" s="118"/>
    </row>
    <row r="596" spans="1:108" ht="45" outlineLevel="2">
      <c r="A596" s="178">
        <v>40448</v>
      </c>
      <c r="B596" s="174" t="s">
        <v>1142</v>
      </c>
      <c r="C596" s="174" t="s">
        <v>2269</v>
      </c>
      <c r="D596" s="179" t="s">
        <v>1262</v>
      </c>
      <c r="E596" s="163"/>
      <c r="F596" s="105"/>
      <c r="G596" s="105"/>
      <c r="H596" s="105">
        <f>236*5</f>
        <v>1180</v>
      </c>
      <c r="I596" s="105">
        <v>236</v>
      </c>
      <c r="J596" s="105"/>
      <c r="K596" s="105">
        <v>236</v>
      </c>
      <c r="L596" s="105"/>
      <c r="M596" s="105"/>
      <c r="N596" s="105"/>
      <c r="O596" s="105"/>
      <c r="P596" s="105"/>
      <c r="Q596" s="105"/>
      <c r="R596" s="105"/>
      <c r="S596" s="105"/>
      <c r="T596" s="106"/>
      <c r="U596" s="130"/>
      <c r="V596" s="1">
        <v>40452</v>
      </c>
      <c r="W596" s="68">
        <f t="shared" si="156"/>
        <v>24788000</v>
      </c>
      <c r="X596" s="68">
        <f t="shared" si="157"/>
        <v>11900000</v>
      </c>
      <c r="Y596" s="68">
        <f t="shared" si="155"/>
        <v>0</v>
      </c>
      <c r="Z596" s="68">
        <f t="shared" si="158"/>
        <v>0</v>
      </c>
      <c r="AA596" s="68"/>
      <c r="AB596" s="68">
        <v>0</v>
      </c>
      <c r="AC596" s="69">
        <f t="shared" si="159"/>
        <v>36688000</v>
      </c>
      <c r="AD596" s="70">
        <f>46288000-17228000</f>
        <v>29060000</v>
      </c>
      <c r="AE596" s="63">
        <v>40422</v>
      </c>
      <c r="AF596" s="79" t="s">
        <v>2138</v>
      </c>
      <c r="AG596" s="63" t="s">
        <v>954</v>
      </c>
      <c r="AH596" s="23" t="s">
        <v>955</v>
      </c>
      <c r="AI596" s="75" t="s">
        <v>2139</v>
      </c>
      <c r="AJ596" s="124" t="s">
        <v>1016</v>
      </c>
      <c r="AK596" s="121" t="s">
        <v>1015</v>
      </c>
      <c r="AL596" s="107"/>
      <c r="AM596" s="108"/>
      <c r="AN596" s="109"/>
      <c r="AO596" s="108"/>
      <c r="AP596" s="108"/>
      <c r="AQ596" s="108"/>
      <c r="AR596" s="108"/>
      <c r="AS596" s="108"/>
      <c r="AT596" s="108"/>
      <c r="AU596" s="108"/>
      <c r="AV596" s="108"/>
      <c r="AW596" s="108"/>
      <c r="AX596" s="108"/>
      <c r="AY596" s="108"/>
      <c r="AZ596" s="108"/>
      <c r="BA596" s="108"/>
      <c r="BB596" s="108"/>
      <c r="BC596" s="108"/>
      <c r="BD596" s="108"/>
      <c r="BE596" s="108"/>
      <c r="BF596" s="108"/>
      <c r="BG596" s="108"/>
      <c r="BH596" s="108"/>
      <c r="BI596" s="108"/>
      <c r="BJ596" s="108"/>
      <c r="BK596" s="108"/>
      <c r="BL596" s="108"/>
      <c r="BM596" s="108"/>
      <c r="BN596" s="108"/>
      <c r="BO596" s="108"/>
      <c r="BP596" s="108"/>
      <c r="BQ596" s="108"/>
      <c r="BR596" s="108"/>
      <c r="BS596" s="108"/>
      <c r="BT596" s="108"/>
      <c r="BU596" s="108"/>
      <c r="BV596" s="108"/>
      <c r="BW596" s="108"/>
      <c r="BX596" s="108"/>
      <c r="BY596" s="108"/>
      <c r="BZ596" s="108"/>
      <c r="CA596" s="108"/>
      <c r="CB596" s="108"/>
      <c r="CC596" s="108"/>
      <c r="CD596" s="108"/>
      <c r="CE596" s="108"/>
      <c r="CF596" s="108"/>
      <c r="CG596" s="108"/>
      <c r="CH596" s="108"/>
      <c r="CI596" s="108"/>
      <c r="CJ596" s="108"/>
      <c r="CK596" s="108"/>
      <c r="CL596" s="108">
        <v>140</v>
      </c>
      <c r="CM596" s="108">
        <f>140*18000</f>
        <v>2520000</v>
      </c>
      <c r="CN596" s="110">
        <v>236</v>
      </c>
      <c r="CO596" s="111">
        <f>236*37000</f>
        <v>8732000</v>
      </c>
      <c r="CP596" s="110">
        <f>140+236</f>
        <v>376</v>
      </c>
      <c r="CQ596" s="111">
        <f>140*36000+236*36000</f>
        <v>13536000</v>
      </c>
      <c r="CR596" s="110"/>
      <c r="CS596" s="111"/>
      <c r="CT596" s="112">
        <f t="shared" si="160"/>
        <v>24788000</v>
      </c>
      <c r="CU596" s="113"/>
      <c r="CV596" s="114"/>
      <c r="CW596" s="115">
        <v>140</v>
      </c>
      <c r="CX596" s="116">
        <f>140*85000</f>
        <v>11900000</v>
      </c>
      <c r="CY596" s="117"/>
      <c r="CZ596" s="116"/>
      <c r="DA596" s="113"/>
      <c r="DB596" s="114"/>
      <c r="DC596" s="64"/>
      <c r="DD596" s="118"/>
    </row>
    <row r="597" spans="1:108" ht="45" outlineLevel="2">
      <c r="A597" s="178">
        <v>40452</v>
      </c>
      <c r="B597" s="164" t="s">
        <v>1142</v>
      </c>
      <c r="C597" s="164" t="s">
        <v>807</v>
      </c>
      <c r="D597" s="166" t="s">
        <v>1262</v>
      </c>
      <c r="E597" s="163"/>
      <c r="F597" s="105"/>
      <c r="G597" s="105"/>
      <c r="H597" s="105">
        <v>420</v>
      </c>
      <c r="I597" s="105">
        <v>84</v>
      </c>
      <c r="J597" s="105"/>
      <c r="K597" s="105">
        <v>84</v>
      </c>
      <c r="L597" s="105"/>
      <c r="M597" s="105"/>
      <c r="N597" s="105"/>
      <c r="O597" s="105"/>
      <c r="P597" s="105"/>
      <c r="Q597" s="105"/>
      <c r="R597" s="105"/>
      <c r="S597" s="105"/>
      <c r="T597" s="106"/>
      <c r="U597" s="130"/>
      <c r="V597" s="1">
        <v>40514</v>
      </c>
      <c r="W597" s="68">
        <f t="shared" si="156"/>
        <v>6570000</v>
      </c>
      <c r="X597" s="68">
        <f t="shared" si="157"/>
        <v>0</v>
      </c>
      <c r="Y597" s="68">
        <f t="shared" si="155"/>
        <v>0</v>
      </c>
      <c r="Z597" s="68">
        <f t="shared" si="158"/>
        <v>0</v>
      </c>
      <c r="AA597" s="68"/>
      <c r="AB597" s="68">
        <v>0</v>
      </c>
      <c r="AC597" s="69">
        <f t="shared" si="159"/>
        <v>6570000</v>
      </c>
      <c r="AD597" s="70">
        <f>17460000-6570000</f>
        <v>10890000</v>
      </c>
      <c r="AE597" s="63">
        <v>40455</v>
      </c>
      <c r="AF597" s="72">
        <v>58953</v>
      </c>
      <c r="AG597" s="63" t="s">
        <v>954</v>
      </c>
      <c r="AH597" s="23" t="s">
        <v>955</v>
      </c>
      <c r="AI597" s="60">
        <v>25690</v>
      </c>
      <c r="AJ597" s="133" t="s">
        <v>415</v>
      </c>
      <c r="AK597" s="121" t="s">
        <v>1000</v>
      </c>
      <c r="AL597" s="107"/>
      <c r="AM597" s="108"/>
      <c r="AN597" s="109"/>
      <c r="AO597" s="108"/>
      <c r="AP597" s="108"/>
      <c r="AQ597" s="108"/>
      <c r="AR597" s="108"/>
      <c r="AS597" s="108"/>
      <c r="AT597" s="108"/>
      <c r="AU597" s="108"/>
      <c r="AV597" s="108"/>
      <c r="AW597" s="108"/>
      <c r="AX597" s="108"/>
      <c r="AY597" s="108"/>
      <c r="AZ597" s="108"/>
      <c r="BA597" s="108"/>
      <c r="BB597" s="108"/>
      <c r="BC597" s="108"/>
      <c r="BD597" s="108"/>
      <c r="BE597" s="108"/>
      <c r="BF597" s="108"/>
      <c r="BG597" s="108"/>
      <c r="BH597" s="108"/>
      <c r="BI597" s="108"/>
      <c r="BJ597" s="108"/>
      <c r="BK597" s="108"/>
      <c r="BL597" s="108"/>
      <c r="BM597" s="108"/>
      <c r="BN597" s="108"/>
      <c r="BO597" s="108"/>
      <c r="BP597" s="108"/>
      <c r="BQ597" s="108"/>
      <c r="BR597" s="108"/>
      <c r="BS597" s="108"/>
      <c r="BT597" s="108"/>
      <c r="BU597" s="108"/>
      <c r="BV597" s="108"/>
      <c r="BW597" s="108"/>
      <c r="BX597" s="108"/>
      <c r="BY597" s="108"/>
      <c r="BZ597" s="108"/>
      <c r="CA597" s="108"/>
      <c r="CB597" s="108"/>
      <c r="CC597" s="108"/>
      <c r="CD597" s="108"/>
      <c r="CE597" s="108"/>
      <c r="CF597" s="108"/>
      <c r="CG597" s="108"/>
      <c r="CH597" s="108"/>
      <c r="CI597" s="108"/>
      <c r="CJ597" s="108"/>
      <c r="CK597" s="108"/>
      <c r="CL597" s="108"/>
      <c r="CM597" s="108"/>
      <c r="CN597" s="110">
        <v>90</v>
      </c>
      <c r="CO597" s="111">
        <f>90*37000</f>
        <v>3330000</v>
      </c>
      <c r="CP597" s="110">
        <v>90</v>
      </c>
      <c r="CQ597" s="111">
        <f>90*36000</f>
        <v>3240000</v>
      </c>
      <c r="CR597" s="110"/>
      <c r="CS597" s="111"/>
      <c r="CT597" s="112">
        <f t="shared" si="160"/>
        <v>6570000</v>
      </c>
      <c r="CU597" s="113"/>
      <c r="CV597" s="114"/>
      <c r="CW597" s="115"/>
      <c r="CX597" s="116"/>
      <c r="CY597" s="117"/>
      <c r="CZ597" s="116"/>
      <c r="DA597" s="113"/>
      <c r="DB597" s="114"/>
      <c r="DC597" s="64"/>
      <c r="DD597" s="118"/>
    </row>
    <row r="598" spans="1:108" ht="22.5" outlineLevel="2">
      <c r="A598" s="178">
        <v>40452</v>
      </c>
      <c r="B598" s="164" t="s">
        <v>1142</v>
      </c>
      <c r="C598" s="164" t="s">
        <v>953</v>
      </c>
      <c r="D598" s="166" t="s">
        <v>1262</v>
      </c>
      <c r="E598" s="163"/>
      <c r="F598" s="105"/>
      <c r="G598" s="105"/>
      <c r="H598" s="105"/>
      <c r="I598" s="105"/>
      <c r="J598" s="105"/>
      <c r="K598" s="105"/>
      <c r="L598" s="105"/>
      <c r="M598" s="105"/>
      <c r="N598" s="105"/>
      <c r="O598" s="105"/>
      <c r="P598" s="105"/>
      <c r="Q598" s="105"/>
      <c r="R598" s="105"/>
      <c r="S598" s="105"/>
      <c r="T598" s="106"/>
      <c r="U598" s="130"/>
      <c r="V598" s="1">
        <v>40477</v>
      </c>
      <c r="W598" s="68">
        <f t="shared" si="156"/>
        <v>0</v>
      </c>
      <c r="X598" s="68">
        <f t="shared" si="157"/>
        <v>0</v>
      </c>
      <c r="Y598" s="68">
        <f t="shared" si="155"/>
        <v>0</v>
      </c>
      <c r="Z598" s="68">
        <f t="shared" si="158"/>
        <v>90016000</v>
      </c>
      <c r="AA598" s="68"/>
      <c r="AB598" s="68">
        <v>0</v>
      </c>
      <c r="AC598" s="69">
        <f t="shared" si="159"/>
        <v>90016000</v>
      </c>
      <c r="AD598" s="70">
        <v>0</v>
      </c>
      <c r="AE598" s="63">
        <v>40452</v>
      </c>
      <c r="AF598" s="72">
        <v>56724</v>
      </c>
      <c r="AG598" s="63" t="s">
        <v>954</v>
      </c>
      <c r="AH598" s="23" t="s">
        <v>955</v>
      </c>
      <c r="AI598" s="60">
        <v>22823</v>
      </c>
      <c r="AJ598" s="124" t="s">
        <v>2343</v>
      </c>
      <c r="AK598" s="121" t="s">
        <v>1809</v>
      </c>
      <c r="AL598" s="107"/>
      <c r="AM598" s="108"/>
      <c r="AN598" s="109"/>
      <c r="AO598" s="108"/>
      <c r="AP598" s="108"/>
      <c r="AQ598" s="108"/>
      <c r="AR598" s="108"/>
      <c r="AS598" s="108"/>
      <c r="AT598" s="108"/>
      <c r="AU598" s="108"/>
      <c r="AV598" s="108"/>
      <c r="AW598" s="108"/>
      <c r="AX598" s="108"/>
      <c r="AY598" s="108"/>
      <c r="AZ598" s="108"/>
      <c r="BA598" s="108"/>
      <c r="BB598" s="108"/>
      <c r="BC598" s="108"/>
      <c r="BD598" s="108"/>
      <c r="BE598" s="108"/>
      <c r="BF598" s="108"/>
      <c r="BG598" s="108"/>
      <c r="BH598" s="108"/>
      <c r="BI598" s="108"/>
      <c r="BJ598" s="108"/>
      <c r="BK598" s="108"/>
      <c r="BL598" s="108"/>
      <c r="BM598" s="108"/>
      <c r="BN598" s="108"/>
      <c r="BO598" s="108"/>
      <c r="BP598" s="108"/>
      <c r="BQ598" s="108"/>
      <c r="BR598" s="108"/>
      <c r="BS598" s="108"/>
      <c r="BT598" s="108"/>
      <c r="BU598" s="108"/>
      <c r="BV598" s="108"/>
      <c r="BW598" s="108"/>
      <c r="BX598" s="108"/>
      <c r="BY598" s="108"/>
      <c r="BZ598" s="108"/>
      <c r="CA598" s="108"/>
      <c r="CB598" s="108"/>
      <c r="CC598" s="108"/>
      <c r="CD598" s="108"/>
      <c r="CE598" s="108"/>
      <c r="CF598" s="108"/>
      <c r="CG598" s="108"/>
      <c r="CH598" s="108"/>
      <c r="CI598" s="108"/>
      <c r="CJ598" s="108"/>
      <c r="CK598" s="108"/>
      <c r="CL598" s="108"/>
      <c r="CM598" s="108"/>
      <c r="CN598" s="110"/>
      <c r="CO598" s="111"/>
      <c r="CP598" s="110"/>
      <c r="CQ598" s="111"/>
      <c r="CR598" s="110"/>
      <c r="CS598" s="111"/>
      <c r="CT598" s="112">
        <f t="shared" si="160"/>
        <v>0</v>
      </c>
      <c r="CU598" s="113">
        <v>100000</v>
      </c>
      <c r="CV598" s="114">
        <f>100000*900.16</f>
        <v>90016000</v>
      </c>
      <c r="CW598" s="115"/>
      <c r="CX598" s="116"/>
      <c r="CY598" s="117"/>
      <c r="CZ598" s="116"/>
      <c r="DA598" s="113"/>
      <c r="DB598" s="114"/>
      <c r="DC598" s="64"/>
      <c r="DD598" s="118"/>
    </row>
    <row r="599" spans="1:108" ht="36" outlineLevel="2">
      <c r="A599" s="178">
        <v>40452</v>
      </c>
      <c r="B599" s="164" t="s">
        <v>1142</v>
      </c>
      <c r="C599" s="164" t="s">
        <v>2250</v>
      </c>
      <c r="D599" s="165" t="s">
        <v>1182</v>
      </c>
      <c r="E599" s="163"/>
      <c r="F599" s="105"/>
      <c r="G599" s="105"/>
      <c r="H599" s="105"/>
      <c r="I599" s="105"/>
      <c r="J599" s="105"/>
      <c r="K599" s="105"/>
      <c r="L599" s="105">
        <v>1</v>
      </c>
      <c r="M599" s="105"/>
      <c r="N599" s="105"/>
      <c r="O599" s="105"/>
      <c r="P599" s="105"/>
      <c r="Q599" s="105"/>
      <c r="R599" s="105"/>
      <c r="S599" s="105"/>
      <c r="T599" s="106"/>
      <c r="U599" s="130"/>
      <c r="V599" s="1"/>
      <c r="W599" s="68">
        <f t="shared" si="156"/>
        <v>0</v>
      </c>
      <c r="X599" s="68">
        <f t="shared" si="157"/>
        <v>0</v>
      </c>
      <c r="Y599" s="68">
        <f t="shared" si="155"/>
        <v>0</v>
      </c>
      <c r="Z599" s="68">
        <f t="shared" si="158"/>
        <v>0</v>
      </c>
      <c r="AA599" s="68"/>
      <c r="AB599" s="68">
        <v>0</v>
      </c>
      <c r="AC599" s="69">
        <f t="shared" si="159"/>
        <v>0</v>
      </c>
      <c r="AD599" s="70">
        <v>0</v>
      </c>
      <c r="AE599" s="63">
        <v>40455</v>
      </c>
      <c r="AF599" s="72"/>
      <c r="AG599" s="63" t="s">
        <v>938</v>
      </c>
      <c r="AH599" s="23" t="s">
        <v>939</v>
      </c>
      <c r="AI599" s="60"/>
      <c r="AJ599" s="124" t="s">
        <v>1608</v>
      </c>
      <c r="AK599" s="121" t="s">
        <v>764</v>
      </c>
      <c r="AL599" s="107"/>
      <c r="AM599" s="108"/>
      <c r="AN599" s="109"/>
      <c r="AO599" s="108"/>
      <c r="AP599" s="108"/>
      <c r="AQ599" s="108"/>
      <c r="AR599" s="108"/>
      <c r="AS599" s="108"/>
      <c r="AT599" s="108"/>
      <c r="AU599" s="108"/>
      <c r="AV599" s="108"/>
      <c r="AW599" s="108"/>
      <c r="AX599" s="108"/>
      <c r="AY599" s="108"/>
      <c r="AZ599" s="108"/>
      <c r="BA599" s="108"/>
      <c r="BB599" s="108"/>
      <c r="BC599" s="108"/>
      <c r="BD599" s="108"/>
      <c r="BE599" s="108"/>
      <c r="BF599" s="108"/>
      <c r="BG599" s="108"/>
      <c r="BH599" s="108"/>
      <c r="BI599" s="108"/>
      <c r="BJ599" s="108"/>
      <c r="BK599" s="108"/>
      <c r="BL599" s="108"/>
      <c r="BM599" s="108"/>
      <c r="BN599" s="108"/>
      <c r="BO599" s="108"/>
      <c r="BP599" s="108"/>
      <c r="BQ599" s="108"/>
      <c r="BR599" s="108"/>
      <c r="BS599" s="108"/>
      <c r="BT599" s="108"/>
      <c r="BU599" s="108"/>
      <c r="BV599" s="108"/>
      <c r="BW599" s="108"/>
      <c r="BX599" s="108"/>
      <c r="BY599" s="108"/>
      <c r="BZ599" s="108"/>
      <c r="CA599" s="108"/>
      <c r="CB599" s="108"/>
      <c r="CC599" s="108"/>
      <c r="CD599" s="108"/>
      <c r="CE599" s="108"/>
      <c r="CF599" s="108"/>
      <c r="CG599" s="108"/>
      <c r="CH599" s="108"/>
      <c r="CI599" s="108"/>
      <c r="CJ599" s="108"/>
      <c r="CK599" s="108"/>
      <c r="CL599" s="108"/>
      <c r="CM599" s="108"/>
      <c r="CN599" s="110"/>
      <c r="CO599" s="111"/>
      <c r="CP599" s="110"/>
      <c r="CQ599" s="111"/>
      <c r="CR599" s="110"/>
      <c r="CS599" s="111"/>
      <c r="CT599" s="112">
        <f t="shared" si="160"/>
        <v>0</v>
      </c>
      <c r="CU599" s="113"/>
      <c r="CV599" s="114"/>
      <c r="CW599" s="115"/>
      <c r="CX599" s="116"/>
      <c r="CY599" s="117"/>
      <c r="CZ599" s="116"/>
      <c r="DA599" s="113"/>
      <c r="DB599" s="114"/>
      <c r="DC599" s="64"/>
      <c r="DD599" s="118"/>
    </row>
    <row r="600" spans="1:108" ht="36" outlineLevel="2">
      <c r="A600" s="178">
        <v>40452</v>
      </c>
      <c r="B600" s="164" t="s">
        <v>1142</v>
      </c>
      <c r="C600" s="164" t="s">
        <v>1588</v>
      </c>
      <c r="D600" s="166" t="s">
        <v>1262</v>
      </c>
      <c r="E600" s="163"/>
      <c r="F600" s="105"/>
      <c r="G600" s="105"/>
      <c r="H600" s="105"/>
      <c r="I600" s="105"/>
      <c r="J600" s="105"/>
      <c r="K600" s="105"/>
      <c r="L600" s="105"/>
      <c r="M600" s="105"/>
      <c r="N600" s="105"/>
      <c r="O600" s="105"/>
      <c r="P600" s="105"/>
      <c r="Q600" s="105"/>
      <c r="R600" s="105"/>
      <c r="S600" s="105"/>
      <c r="T600" s="106"/>
      <c r="U600" s="130"/>
      <c r="V600" s="1"/>
      <c r="W600" s="68">
        <f t="shared" si="156"/>
        <v>0</v>
      </c>
      <c r="X600" s="68">
        <f t="shared" si="157"/>
        <v>0</v>
      </c>
      <c r="Y600" s="68">
        <f t="shared" si="155"/>
        <v>0</v>
      </c>
      <c r="Z600" s="68">
        <f t="shared" si="158"/>
        <v>0</v>
      </c>
      <c r="AA600" s="68"/>
      <c r="AB600" s="68">
        <v>0</v>
      </c>
      <c r="AC600" s="69">
        <f t="shared" si="159"/>
        <v>0</v>
      </c>
      <c r="AD600" s="70">
        <v>0</v>
      </c>
      <c r="AE600" s="63">
        <v>40455</v>
      </c>
      <c r="AF600" s="72"/>
      <c r="AG600" s="63" t="s">
        <v>938</v>
      </c>
      <c r="AH600" s="23" t="s">
        <v>939</v>
      </c>
      <c r="AI600" s="60"/>
      <c r="AJ600" s="124" t="s">
        <v>1608</v>
      </c>
      <c r="AK600" s="121" t="s">
        <v>763</v>
      </c>
      <c r="AL600" s="107"/>
      <c r="AM600" s="108"/>
      <c r="AN600" s="109"/>
      <c r="AO600" s="108"/>
      <c r="AP600" s="108"/>
      <c r="AQ600" s="108"/>
      <c r="AR600" s="108"/>
      <c r="AS600" s="108"/>
      <c r="AT600" s="108"/>
      <c r="AU600" s="108"/>
      <c r="AV600" s="108"/>
      <c r="AW600" s="108"/>
      <c r="AX600" s="108"/>
      <c r="AY600" s="108"/>
      <c r="AZ600" s="108"/>
      <c r="BA600" s="108"/>
      <c r="BB600" s="108"/>
      <c r="BC600" s="108"/>
      <c r="BD600" s="108"/>
      <c r="BE600" s="108"/>
      <c r="BF600" s="108"/>
      <c r="BG600" s="108"/>
      <c r="BH600" s="108"/>
      <c r="BI600" s="108"/>
      <c r="BJ600" s="108"/>
      <c r="BK600" s="108"/>
      <c r="BL600" s="108"/>
      <c r="BM600" s="108"/>
      <c r="BN600" s="108"/>
      <c r="BO600" s="108"/>
      <c r="BP600" s="108"/>
      <c r="BQ600" s="108"/>
      <c r="BR600" s="108"/>
      <c r="BS600" s="108"/>
      <c r="BT600" s="108"/>
      <c r="BU600" s="108"/>
      <c r="BV600" s="108"/>
      <c r="BW600" s="108"/>
      <c r="BX600" s="108"/>
      <c r="BY600" s="108"/>
      <c r="BZ600" s="108"/>
      <c r="CA600" s="108"/>
      <c r="CB600" s="108"/>
      <c r="CC600" s="108"/>
      <c r="CD600" s="108"/>
      <c r="CE600" s="108"/>
      <c r="CF600" s="108"/>
      <c r="CG600" s="108"/>
      <c r="CH600" s="108"/>
      <c r="CI600" s="108"/>
      <c r="CJ600" s="108"/>
      <c r="CK600" s="108"/>
      <c r="CL600" s="108"/>
      <c r="CM600" s="108"/>
      <c r="CN600" s="110"/>
      <c r="CO600" s="111"/>
      <c r="CP600" s="110"/>
      <c r="CQ600" s="111"/>
      <c r="CR600" s="110"/>
      <c r="CS600" s="111"/>
      <c r="CT600" s="112">
        <f t="shared" si="160"/>
        <v>0</v>
      </c>
      <c r="CU600" s="113"/>
      <c r="CV600" s="114"/>
      <c r="CW600" s="115"/>
      <c r="CX600" s="116"/>
      <c r="CY600" s="117"/>
      <c r="CZ600" s="116"/>
      <c r="DA600" s="113"/>
      <c r="DB600" s="114"/>
      <c r="DC600" s="64"/>
      <c r="DD600" s="118"/>
    </row>
    <row r="601" spans="1:108" ht="144" outlineLevel="2">
      <c r="A601" s="178">
        <v>40455</v>
      </c>
      <c r="B601" s="164" t="s">
        <v>1142</v>
      </c>
      <c r="C601" s="164" t="s">
        <v>1910</v>
      </c>
      <c r="D601" s="166" t="s">
        <v>1262</v>
      </c>
      <c r="E601" s="163"/>
      <c r="F601" s="105"/>
      <c r="G601" s="105"/>
      <c r="H601" s="105">
        <f>970*5</f>
        <v>4850</v>
      </c>
      <c r="I601" s="105">
        <v>970</v>
      </c>
      <c r="J601" s="105"/>
      <c r="K601" s="105">
        <v>14</v>
      </c>
      <c r="L601" s="105"/>
      <c r="M601" s="105"/>
      <c r="N601" s="105"/>
      <c r="O601" s="105"/>
      <c r="P601" s="105"/>
      <c r="Q601" s="105"/>
      <c r="R601" s="105"/>
      <c r="S601" s="105"/>
      <c r="T601" s="106"/>
      <c r="U601" s="130"/>
      <c r="V601" s="1">
        <v>40479</v>
      </c>
      <c r="W601" s="68">
        <f t="shared" si="156"/>
        <v>0</v>
      </c>
      <c r="X601" s="68">
        <f t="shared" si="157"/>
        <v>85000000</v>
      </c>
      <c r="Y601" s="68">
        <f t="shared" si="155"/>
        <v>0</v>
      </c>
      <c r="Z601" s="68">
        <f t="shared" si="158"/>
        <v>0</v>
      </c>
      <c r="AA601" s="68"/>
      <c r="AB601" s="68">
        <v>0</v>
      </c>
      <c r="AC601" s="69">
        <f t="shared" si="159"/>
        <v>85000000</v>
      </c>
      <c r="AD601" s="70">
        <v>85000000</v>
      </c>
      <c r="AE601" s="63">
        <v>40459</v>
      </c>
      <c r="AF601" s="72">
        <v>54590</v>
      </c>
      <c r="AG601" s="63" t="s">
        <v>954</v>
      </c>
      <c r="AH601" s="23" t="s">
        <v>955</v>
      </c>
      <c r="AI601" s="60">
        <v>23133</v>
      </c>
      <c r="AJ601" s="124" t="s">
        <v>1476</v>
      </c>
      <c r="AK601" s="121" t="s">
        <v>809</v>
      </c>
      <c r="AL601" s="107"/>
      <c r="AM601" s="108"/>
      <c r="AN601" s="109"/>
      <c r="AO601" s="108"/>
      <c r="AP601" s="108"/>
      <c r="AQ601" s="108"/>
      <c r="AR601" s="108"/>
      <c r="AS601" s="108"/>
      <c r="AT601" s="108"/>
      <c r="AU601" s="108"/>
      <c r="AV601" s="108"/>
      <c r="AW601" s="108"/>
      <c r="AX601" s="108"/>
      <c r="AY601" s="108"/>
      <c r="AZ601" s="108"/>
      <c r="BA601" s="108"/>
      <c r="BB601" s="108"/>
      <c r="BC601" s="108"/>
      <c r="BD601" s="108"/>
      <c r="BE601" s="108"/>
      <c r="BF601" s="108"/>
      <c r="BG601" s="108"/>
      <c r="BH601" s="108"/>
      <c r="BI601" s="108"/>
      <c r="BJ601" s="108"/>
      <c r="BK601" s="108"/>
      <c r="BL601" s="108"/>
      <c r="BM601" s="108"/>
      <c r="BN601" s="108"/>
      <c r="BO601" s="108"/>
      <c r="BP601" s="108"/>
      <c r="BQ601" s="108"/>
      <c r="BR601" s="108"/>
      <c r="BS601" s="108"/>
      <c r="BT601" s="108"/>
      <c r="BU601" s="108"/>
      <c r="BV601" s="108"/>
      <c r="BW601" s="108"/>
      <c r="BX601" s="108"/>
      <c r="BY601" s="108"/>
      <c r="BZ601" s="108"/>
      <c r="CA601" s="108"/>
      <c r="CB601" s="108"/>
      <c r="CC601" s="108"/>
      <c r="CD601" s="108"/>
      <c r="CE601" s="108"/>
      <c r="CF601" s="108"/>
      <c r="CG601" s="108"/>
      <c r="CH601" s="108"/>
      <c r="CI601" s="108"/>
      <c r="CJ601" s="108"/>
      <c r="CK601" s="108"/>
      <c r="CL601" s="108"/>
      <c r="CM601" s="108"/>
      <c r="CN601" s="110"/>
      <c r="CO601" s="111"/>
      <c r="CP601" s="110"/>
      <c r="CQ601" s="111"/>
      <c r="CR601" s="110"/>
      <c r="CS601" s="111"/>
      <c r="CT601" s="112">
        <f t="shared" si="160"/>
        <v>0</v>
      </c>
      <c r="CU601" s="113"/>
      <c r="CV601" s="114"/>
      <c r="CW601" s="115">
        <v>1000</v>
      </c>
      <c r="CX601" s="116">
        <f>1000*85000</f>
        <v>85000000</v>
      </c>
      <c r="CY601" s="117"/>
      <c r="CZ601" s="116"/>
      <c r="DA601" s="113"/>
      <c r="DB601" s="114"/>
      <c r="DC601" s="64"/>
      <c r="DD601" s="118"/>
    </row>
    <row r="602" spans="1:108" ht="84" outlineLevel="2">
      <c r="A602" s="178">
        <v>40458</v>
      </c>
      <c r="B602" s="164" t="s">
        <v>1142</v>
      </c>
      <c r="C602" s="164" t="s">
        <v>1004</v>
      </c>
      <c r="D602" s="166" t="s">
        <v>1262</v>
      </c>
      <c r="E602" s="163"/>
      <c r="F602" s="105"/>
      <c r="G602" s="105"/>
      <c r="H602" s="105">
        <v>680</v>
      </c>
      <c r="I602" s="105">
        <v>136</v>
      </c>
      <c r="J602" s="105"/>
      <c r="K602" s="105">
        <v>136</v>
      </c>
      <c r="L602" s="105"/>
      <c r="M602" s="105"/>
      <c r="N602" s="105"/>
      <c r="O602" s="105"/>
      <c r="P602" s="105"/>
      <c r="Q602" s="105"/>
      <c r="R602" s="105"/>
      <c r="S602" s="105"/>
      <c r="T602" s="106"/>
      <c r="U602" s="130" t="s">
        <v>1676</v>
      </c>
      <c r="V602" s="1">
        <v>40514</v>
      </c>
      <c r="W602" s="68">
        <f t="shared" si="156"/>
        <v>9928000</v>
      </c>
      <c r="X602" s="68">
        <f t="shared" si="157"/>
        <v>0</v>
      </c>
      <c r="Y602" s="68">
        <f t="shared" si="155"/>
        <v>0</v>
      </c>
      <c r="Z602" s="68">
        <f t="shared" si="158"/>
        <v>0</v>
      </c>
      <c r="AA602" s="68">
        <f>200*25520+100*25520+50*17400</f>
        <v>8526000</v>
      </c>
      <c r="AB602" s="68">
        <v>0</v>
      </c>
      <c r="AC602" s="69">
        <f t="shared" si="159"/>
        <v>18454000</v>
      </c>
      <c r="AD602" s="70">
        <f>25988000-9928000</f>
        <v>16060000</v>
      </c>
      <c r="AE602" s="63">
        <v>40484</v>
      </c>
      <c r="AF602" s="72">
        <v>58953</v>
      </c>
      <c r="AG602" s="63" t="s">
        <v>954</v>
      </c>
      <c r="AH602" s="23" t="s">
        <v>955</v>
      </c>
      <c r="AI602" s="75" t="s">
        <v>2330</v>
      </c>
      <c r="AJ602" s="133" t="s">
        <v>415</v>
      </c>
      <c r="AK602" s="121" t="s">
        <v>2331</v>
      </c>
      <c r="AL602" s="107"/>
      <c r="AM602" s="108"/>
      <c r="AN602" s="109"/>
      <c r="AO602" s="108"/>
      <c r="AP602" s="108"/>
      <c r="AQ602" s="108"/>
      <c r="AR602" s="108"/>
      <c r="AS602" s="108"/>
      <c r="AT602" s="108"/>
      <c r="AU602" s="108"/>
      <c r="AV602" s="108"/>
      <c r="AW602" s="108"/>
      <c r="AX602" s="108"/>
      <c r="AY602" s="108"/>
      <c r="AZ602" s="108"/>
      <c r="BA602" s="108"/>
      <c r="BB602" s="108"/>
      <c r="BC602" s="108"/>
      <c r="BD602" s="108"/>
      <c r="BE602" s="108"/>
      <c r="BF602" s="108"/>
      <c r="BG602" s="108"/>
      <c r="BH602" s="108"/>
      <c r="BI602" s="108"/>
      <c r="BJ602" s="108"/>
      <c r="BK602" s="108"/>
      <c r="BL602" s="108"/>
      <c r="BM602" s="108"/>
      <c r="BN602" s="108"/>
      <c r="BO602" s="108"/>
      <c r="BP602" s="108"/>
      <c r="BQ602" s="108"/>
      <c r="BR602" s="108"/>
      <c r="BS602" s="108"/>
      <c r="BT602" s="108"/>
      <c r="BU602" s="108"/>
      <c r="BV602" s="108"/>
      <c r="BW602" s="108"/>
      <c r="BX602" s="108"/>
      <c r="BY602" s="108"/>
      <c r="BZ602" s="108"/>
      <c r="CA602" s="108"/>
      <c r="CB602" s="108"/>
      <c r="CC602" s="108"/>
      <c r="CD602" s="108"/>
      <c r="CE602" s="108"/>
      <c r="CF602" s="108"/>
      <c r="CG602" s="108"/>
      <c r="CH602" s="108"/>
      <c r="CI602" s="108"/>
      <c r="CJ602" s="108"/>
      <c r="CK602" s="108"/>
      <c r="CL602" s="108"/>
      <c r="CM602" s="108"/>
      <c r="CN602" s="110">
        <v>136</v>
      </c>
      <c r="CO602" s="111">
        <f>136*37000</f>
        <v>5032000</v>
      </c>
      <c r="CP602" s="110">
        <v>136</v>
      </c>
      <c r="CQ602" s="111">
        <f>136*36000</f>
        <v>4896000</v>
      </c>
      <c r="CR602" s="110"/>
      <c r="CS602" s="111"/>
      <c r="CT602" s="112">
        <f t="shared" si="160"/>
        <v>9928000</v>
      </c>
      <c r="CU602" s="113"/>
      <c r="CV602" s="114"/>
      <c r="CW602" s="115"/>
      <c r="CX602" s="116"/>
      <c r="CY602" s="117"/>
      <c r="CZ602" s="116"/>
      <c r="DA602" s="113"/>
      <c r="DB602" s="114"/>
      <c r="DC602" s="64"/>
      <c r="DD602" s="118"/>
    </row>
    <row r="603" spans="1:108" ht="24" outlineLevel="2">
      <c r="A603" s="178">
        <v>40471</v>
      </c>
      <c r="B603" s="164" t="s">
        <v>1142</v>
      </c>
      <c r="C603" s="164" t="s">
        <v>2325</v>
      </c>
      <c r="D603" s="166" t="s">
        <v>1262</v>
      </c>
      <c r="E603" s="163"/>
      <c r="F603" s="105"/>
      <c r="G603" s="105"/>
      <c r="H603" s="105">
        <v>500</v>
      </c>
      <c r="I603" s="105">
        <v>100</v>
      </c>
      <c r="J603" s="105"/>
      <c r="K603" s="105">
        <v>100</v>
      </c>
      <c r="L603" s="105"/>
      <c r="M603" s="105"/>
      <c r="N603" s="105"/>
      <c r="O603" s="105"/>
      <c r="P603" s="105"/>
      <c r="Q603" s="105"/>
      <c r="R603" s="105"/>
      <c r="S603" s="105"/>
      <c r="T603" s="106"/>
      <c r="U603" s="130"/>
      <c r="V603" s="1"/>
      <c r="W603" s="68">
        <f t="shared" si="156"/>
        <v>0</v>
      </c>
      <c r="X603" s="68">
        <f t="shared" si="157"/>
        <v>0</v>
      </c>
      <c r="Y603" s="68">
        <f t="shared" si="155"/>
        <v>0</v>
      </c>
      <c r="Z603" s="68">
        <f t="shared" si="158"/>
        <v>0</v>
      </c>
      <c r="AA603" s="68"/>
      <c r="AB603" s="68">
        <v>0</v>
      </c>
      <c r="AC603" s="69">
        <f t="shared" si="159"/>
        <v>0</v>
      </c>
      <c r="AD603" s="70">
        <v>0</v>
      </c>
      <c r="AE603" s="63">
        <v>40476</v>
      </c>
      <c r="AF603" s="72"/>
      <c r="AG603" s="63" t="s">
        <v>938</v>
      </c>
      <c r="AH603" s="23" t="s">
        <v>939</v>
      </c>
      <c r="AI603" s="60"/>
      <c r="AJ603" s="124" t="s">
        <v>1608</v>
      </c>
      <c r="AK603" s="121" t="s">
        <v>1790</v>
      </c>
      <c r="AL603" s="107"/>
      <c r="AM603" s="108"/>
      <c r="AN603" s="109"/>
      <c r="AO603" s="108"/>
      <c r="AP603" s="108"/>
      <c r="AQ603" s="108"/>
      <c r="AR603" s="108"/>
      <c r="AS603" s="108"/>
      <c r="AT603" s="108"/>
      <c r="AU603" s="108"/>
      <c r="AV603" s="108"/>
      <c r="AW603" s="108"/>
      <c r="AX603" s="108"/>
      <c r="AY603" s="108"/>
      <c r="AZ603" s="108"/>
      <c r="BA603" s="108"/>
      <c r="BB603" s="108"/>
      <c r="BC603" s="108"/>
      <c r="BD603" s="108"/>
      <c r="BE603" s="108"/>
      <c r="BF603" s="108"/>
      <c r="BG603" s="108"/>
      <c r="BH603" s="108"/>
      <c r="BI603" s="108"/>
      <c r="BJ603" s="108"/>
      <c r="BK603" s="108"/>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108"/>
      <c r="CG603" s="108"/>
      <c r="CH603" s="108"/>
      <c r="CI603" s="108"/>
      <c r="CJ603" s="108"/>
      <c r="CK603" s="108"/>
      <c r="CL603" s="108"/>
      <c r="CM603" s="108"/>
      <c r="CN603" s="110"/>
      <c r="CO603" s="111"/>
      <c r="CP603" s="110"/>
      <c r="CQ603" s="111"/>
      <c r="CR603" s="110"/>
      <c r="CS603" s="111"/>
      <c r="CT603" s="112">
        <f t="shared" si="160"/>
        <v>0</v>
      </c>
      <c r="CU603" s="113"/>
      <c r="CV603" s="114"/>
      <c r="CW603" s="115"/>
      <c r="CX603" s="116"/>
      <c r="CY603" s="117"/>
      <c r="CZ603" s="116"/>
      <c r="DA603" s="113"/>
      <c r="DB603" s="114"/>
      <c r="DC603" s="64"/>
      <c r="DD603" s="118"/>
    </row>
    <row r="604" spans="1:108" ht="36" outlineLevel="2">
      <c r="A604" s="178">
        <v>40471</v>
      </c>
      <c r="B604" s="164" t="s">
        <v>1142</v>
      </c>
      <c r="C604" s="164" t="s">
        <v>1910</v>
      </c>
      <c r="D604" s="166" t="s">
        <v>1262</v>
      </c>
      <c r="E604" s="163"/>
      <c r="F604" s="105"/>
      <c r="G604" s="105"/>
      <c r="H604" s="105">
        <v>300</v>
      </c>
      <c r="I604" s="105">
        <v>60</v>
      </c>
      <c r="J604" s="105"/>
      <c r="K604" s="105">
        <v>60</v>
      </c>
      <c r="L604" s="105"/>
      <c r="M604" s="105"/>
      <c r="N604" s="105"/>
      <c r="O604" s="105"/>
      <c r="P604" s="105"/>
      <c r="Q604" s="105"/>
      <c r="R604" s="105"/>
      <c r="S604" s="105"/>
      <c r="T604" s="106"/>
      <c r="U604" s="130"/>
      <c r="V604" s="1"/>
      <c r="W604" s="68">
        <f t="shared" si="156"/>
        <v>0</v>
      </c>
      <c r="X604" s="68">
        <f t="shared" si="157"/>
        <v>0</v>
      </c>
      <c r="Y604" s="68">
        <f t="shared" si="155"/>
        <v>0</v>
      </c>
      <c r="Z604" s="68">
        <f t="shared" si="158"/>
        <v>0</v>
      </c>
      <c r="AA604" s="68"/>
      <c r="AB604" s="68">
        <v>0</v>
      </c>
      <c r="AC604" s="69">
        <f t="shared" si="159"/>
        <v>0</v>
      </c>
      <c r="AD604" s="70">
        <v>0</v>
      </c>
      <c r="AE604" s="63">
        <v>40476</v>
      </c>
      <c r="AF604" s="72"/>
      <c r="AG604" s="63" t="s">
        <v>938</v>
      </c>
      <c r="AH604" s="23" t="s">
        <v>939</v>
      </c>
      <c r="AI604" s="60"/>
      <c r="AJ604" s="124" t="s">
        <v>1608</v>
      </c>
      <c r="AK604" s="121" t="s">
        <v>1797</v>
      </c>
      <c r="AL604" s="107"/>
      <c r="AM604" s="108"/>
      <c r="AN604" s="109"/>
      <c r="AO604" s="108"/>
      <c r="AP604" s="108"/>
      <c r="AQ604" s="108"/>
      <c r="AR604" s="108"/>
      <c r="AS604" s="108"/>
      <c r="AT604" s="108"/>
      <c r="AU604" s="108"/>
      <c r="AV604" s="108"/>
      <c r="AW604" s="108"/>
      <c r="AX604" s="108"/>
      <c r="AY604" s="108"/>
      <c r="AZ604" s="108"/>
      <c r="BA604" s="108"/>
      <c r="BB604" s="108"/>
      <c r="BC604" s="108"/>
      <c r="BD604" s="108"/>
      <c r="BE604" s="108"/>
      <c r="BF604" s="108"/>
      <c r="BG604" s="108"/>
      <c r="BH604" s="108"/>
      <c r="BI604" s="108"/>
      <c r="BJ604" s="108"/>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108"/>
      <c r="CG604" s="108"/>
      <c r="CH604" s="108"/>
      <c r="CI604" s="108"/>
      <c r="CJ604" s="108"/>
      <c r="CK604" s="108"/>
      <c r="CL604" s="108"/>
      <c r="CM604" s="108"/>
      <c r="CN604" s="110"/>
      <c r="CO604" s="111"/>
      <c r="CP604" s="110"/>
      <c r="CQ604" s="111"/>
      <c r="CR604" s="110"/>
      <c r="CS604" s="111"/>
      <c r="CT604" s="112">
        <f t="shared" si="160"/>
        <v>0</v>
      </c>
      <c r="CU604" s="113"/>
      <c r="CV604" s="114"/>
      <c r="CW604" s="115"/>
      <c r="CX604" s="116"/>
      <c r="CY604" s="117"/>
      <c r="CZ604" s="116"/>
      <c r="DA604" s="113"/>
      <c r="DB604" s="114"/>
      <c r="DC604" s="64"/>
      <c r="DD604" s="118"/>
    </row>
    <row r="605" spans="1:108" ht="24" outlineLevel="2">
      <c r="A605" s="178">
        <v>40473</v>
      </c>
      <c r="B605" s="164" t="s">
        <v>1142</v>
      </c>
      <c r="C605" s="164" t="s">
        <v>2264</v>
      </c>
      <c r="D605" s="166" t="s">
        <v>1262</v>
      </c>
      <c r="E605" s="163"/>
      <c r="F605" s="105"/>
      <c r="G605" s="105"/>
      <c r="H605" s="105">
        <v>2100</v>
      </c>
      <c r="I605" s="105">
        <v>420</v>
      </c>
      <c r="J605" s="105"/>
      <c r="K605" s="105">
        <v>420</v>
      </c>
      <c r="L605" s="105"/>
      <c r="M605" s="105"/>
      <c r="N605" s="105"/>
      <c r="O605" s="105"/>
      <c r="P605" s="105"/>
      <c r="Q605" s="105"/>
      <c r="R605" s="105"/>
      <c r="S605" s="105"/>
      <c r="T605" s="106"/>
      <c r="U605" s="130"/>
      <c r="V605" s="1"/>
      <c r="W605" s="68">
        <f t="shared" si="156"/>
        <v>0</v>
      </c>
      <c r="X605" s="68">
        <f t="shared" si="157"/>
        <v>0</v>
      </c>
      <c r="Y605" s="68">
        <f t="shared" si="155"/>
        <v>0</v>
      </c>
      <c r="Z605" s="68">
        <f t="shared" si="158"/>
        <v>0</v>
      </c>
      <c r="AA605" s="68"/>
      <c r="AB605" s="68">
        <v>0</v>
      </c>
      <c r="AC605" s="69">
        <f t="shared" si="159"/>
        <v>0</v>
      </c>
      <c r="AD605" s="70">
        <v>0</v>
      </c>
      <c r="AE605" s="63">
        <v>40476</v>
      </c>
      <c r="AF605" s="72"/>
      <c r="AG605" s="63" t="s">
        <v>938</v>
      </c>
      <c r="AH605" s="23" t="s">
        <v>939</v>
      </c>
      <c r="AI605" s="60"/>
      <c r="AJ605" s="124" t="s">
        <v>1608</v>
      </c>
      <c r="AK605" s="121" t="s">
        <v>1791</v>
      </c>
      <c r="AL605" s="107"/>
      <c r="AM605" s="108"/>
      <c r="AN605" s="109"/>
      <c r="AO605" s="108"/>
      <c r="AP605" s="108"/>
      <c r="AQ605" s="108"/>
      <c r="AR605" s="108"/>
      <c r="AS605" s="108"/>
      <c r="AT605" s="108"/>
      <c r="AU605" s="108"/>
      <c r="AV605" s="108"/>
      <c r="AW605" s="108"/>
      <c r="AX605" s="108"/>
      <c r="AY605" s="108"/>
      <c r="AZ605" s="108"/>
      <c r="BA605" s="108"/>
      <c r="BB605" s="108"/>
      <c r="BC605" s="108"/>
      <c r="BD605" s="108"/>
      <c r="BE605" s="108"/>
      <c r="BF605" s="108"/>
      <c r="BG605" s="108"/>
      <c r="BH605" s="108"/>
      <c r="BI605" s="108"/>
      <c r="BJ605" s="108"/>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108"/>
      <c r="CG605" s="108"/>
      <c r="CH605" s="108"/>
      <c r="CI605" s="108"/>
      <c r="CJ605" s="108"/>
      <c r="CK605" s="108"/>
      <c r="CL605" s="108"/>
      <c r="CM605" s="108"/>
      <c r="CN605" s="110"/>
      <c r="CO605" s="111"/>
      <c r="CP605" s="110"/>
      <c r="CQ605" s="111"/>
      <c r="CR605" s="110"/>
      <c r="CS605" s="111"/>
      <c r="CT605" s="112">
        <f t="shared" si="160"/>
        <v>0</v>
      </c>
      <c r="CU605" s="113"/>
      <c r="CV605" s="114"/>
      <c r="CW605" s="115"/>
      <c r="CX605" s="116"/>
      <c r="CY605" s="117"/>
      <c r="CZ605" s="116"/>
      <c r="DA605" s="113"/>
      <c r="DB605" s="114"/>
      <c r="DC605" s="64"/>
      <c r="DD605" s="118"/>
    </row>
    <row r="606" spans="1:108" ht="60" outlineLevel="2">
      <c r="A606" s="178">
        <v>40477</v>
      </c>
      <c r="B606" s="164" t="s">
        <v>1142</v>
      </c>
      <c r="C606" s="164" t="s">
        <v>2381</v>
      </c>
      <c r="D606" s="166" t="s">
        <v>1262</v>
      </c>
      <c r="E606" s="163"/>
      <c r="F606" s="105"/>
      <c r="G606" s="105"/>
      <c r="H606" s="105">
        <v>750</v>
      </c>
      <c r="I606" s="105">
        <v>150</v>
      </c>
      <c r="J606" s="105"/>
      <c r="K606" s="105">
        <v>150</v>
      </c>
      <c r="L606" s="105"/>
      <c r="M606" s="105"/>
      <c r="N606" s="105"/>
      <c r="O606" s="105"/>
      <c r="P606" s="105"/>
      <c r="Q606" s="105"/>
      <c r="R606" s="105"/>
      <c r="S606" s="105"/>
      <c r="T606" s="106"/>
      <c r="U606" s="130"/>
      <c r="V606" s="1">
        <v>40514</v>
      </c>
      <c r="W606" s="68">
        <f t="shared" si="156"/>
        <v>10950000</v>
      </c>
      <c r="X606" s="68">
        <f t="shared" si="157"/>
        <v>0</v>
      </c>
      <c r="Y606" s="68">
        <f t="shared" si="155"/>
        <v>0</v>
      </c>
      <c r="Z606" s="68">
        <f t="shared" si="158"/>
        <v>0</v>
      </c>
      <c r="AA606" s="68">
        <f>100*25520+50*17400</f>
        <v>3422000</v>
      </c>
      <c r="AB606" s="68">
        <v>0</v>
      </c>
      <c r="AC606" s="69">
        <f t="shared" si="159"/>
        <v>14372000</v>
      </c>
      <c r="AD606" s="70">
        <f>29100000-10950000</f>
        <v>18150000</v>
      </c>
      <c r="AE606" s="63">
        <v>40478</v>
      </c>
      <c r="AF606" s="72">
        <v>58953</v>
      </c>
      <c r="AG606" s="63" t="s">
        <v>954</v>
      </c>
      <c r="AH606" s="23" t="s">
        <v>955</v>
      </c>
      <c r="AI606" s="75" t="s">
        <v>2330</v>
      </c>
      <c r="AJ606" s="133" t="s">
        <v>415</v>
      </c>
      <c r="AK606" s="121" t="s">
        <v>2334</v>
      </c>
      <c r="AL606" s="107"/>
      <c r="AM606" s="108"/>
      <c r="AN606" s="109"/>
      <c r="AO606" s="108"/>
      <c r="AP606" s="108"/>
      <c r="AQ606" s="108"/>
      <c r="AR606" s="108"/>
      <c r="AS606" s="108"/>
      <c r="AT606" s="108"/>
      <c r="AU606" s="108"/>
      <c r="AV606" s="108"/>
      <c r="AW606" s="108"/>
      <c r="AX606" s="108"/>
      <c r="AY606" s="108"/>
      <c r="AZ606" s="108"/>
      <c r="BA606" s="108"/>
      <c r="BB606" s="108"/>
      <c r="BC606" s="108"/>
      <c r="BD606" s="108"/>
      <c r="BE606" s="108"/>
      <c r="BF606" s="108"/>
      <c r="BG606" s="108"/>
      <c r="BH606" s="108"/>
      <c r="BI606" s="108"/>
      <c r="BJ606" s="108"/>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108"/>
      <c r="CG606" s="108"/>
      <c r="CH606" s="108"/>
      <c r="CI606" s="108"/>
      <c r="CJ606" s="108"/>
      <c r="CK606" s="108"/>
      <c r="CL606" s="108"/>
      <c r="CM606" s="108"/>
      <c r="CN606" s="110">
        <v>150</v>
      </c>
      <c r="CO606" s="111">
        <f>150*37000</f>
        <v>5550000</v>
      </c>
      <c r="CP606" s="110">
        <v>150</v>
      </c>
      <c r="CQ606" s="111">
        <f>150*36000</f>
        <v>5400000</v>
      </c>
      <c r="CR606" s="110"/>
      <c r="CS606" s="111"/>
      <c r="CT606" s="112">
        <f t="shared" si="160"/>
        <v>10950000</v>
      </c>
      <c r="CU606" s="113"/>
      <c r="CV606" s="114"/>
      <c r="CW606" s="115"/>
      <c r="CX606" s="116"/>
      <c r="CY606" s="117"/>
      <c r="CZ606" s="116"/>
      <c r="DA606" s="113"/>
      <c r="DB606" s="114"/>
      <c r="DC606" s="64"/>
      <c r="DD606" s="118"/>
    </row>
    <row r="607" spans="1:108" ht="36" outlineLevel="2">
      <c r="A607" s="178">
        <v>40483</v>
      </c>
      <c r="B607" s="164" t="s">
        <v>1142</v>
      </c>
      <c r="C607" s="164" t="s">
        <v>2381</v>
      </c>
      <c r="D607" s="166" t="s">
        <v>1262</v>
      </c>
      <c r="E607" s="163"/>
      <c r="F607" s="105"/>
      <c r="G607" s="105"/>
      <c r="H607" s="105">
        <v>600</v>
      </c>
      <c r="I607" s="105">
        <v>120</v>
      </c>
      <c r="J607" s="105"/>
      <c r="K607" s="105">
        <v>120</v>
      </c>
      <c r="L607" s="105"/>
      <c r="M607" s="105"/>
      <c r="N607" s="105"/>
      <c r="O607" s="105"/>
      <c r="P607" s="105"/>
      <c r="Q607" s="105"/>
      <c r="R607" s="105"/>
      <c r="S607" s="105"/>
      <c r="T607" s="106"/>
      <c r="U607" s="130"/>
      <c r="V607" s="1"/>
      <c r="W607" s="68">
        <f t="shared" si="156"/>
        <v>0</v>
      </c>
      <c r="X607" s="68">
        <f t="shared" si="157"/>
        <v>0</v>
      </c>
      <c r="Y607" s="68">
        <f t="shared" si="155"/>
        <v>0</v>
      </c>
      <c r="Z607" s="68">
        <f t="shared" si="158"/>
        <v>0</v>
      </c>
      <c r="AA607" s="68"/>
      <c r="AB607" s="68">
        <v>0</v>
      </c>
      <c r="AC607" s="69">
        <f t="shared" si="159"/>
        <v>0</v>
      </c>
      <c r="AD607" s="70">
        <v>0</v>
      </c>
      <c r="AE607" s="63">
        <v>40484</v>
      </c>
      <c r="AF607" s="72"/>
      <c r="AG607" s="63" t="s">
        <v>938</v>
      </c>
      <c r="AH607" s="23" t="s">
        <v>939</v>
      </c>
      <c r="AI607" s="83"/>
      <c r="AJ607" s="124" t="s">
        <v>1608</v>
      </c>
      <c r="AK607" s="185" t="s">
        <v>1032</v>
      </c>
      <c r="AL607" s="123"/>
      <c r="AM607" s="108"/>
      <c r="AN607" s="109"/>
      <c r="AO607" s="108"/>
      <c r="AP607" s="108"/>
      <c r="AQ607" s="108"/>
      <c r="AR607" s="108"/>
      <c r="AS607" s="108"/>
      <c r="AT607" s="108"/>
      <c r="AU607" s="108"/>
      <c r="AV607" s="108"/>
      <c r="AW607" s="108"/>
      <c r="AX607" s="108"/>
      <c r="AY607" s="108"/>
      <c r="AZ607" s="108"/>
      <c r="BA607" s="108"/>
      <c r="BB607" s="108"/>
      <c r="BC607" s="108"/>
      <c r="BD607" s="108"/>
      <c r="BE607" s="108"/>
      <c r="BF607" s="108"/>
      <c r="BG607" s="108"/>
      <c r="BH607" s="108"/>
      <c r="BI607" s="108"/>
      <c r="BJ607" s="108"/>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108"/>
      <c r="CG607" s="108"/>
      <c r="CH607" s="108"/>
      <c r="CI607" s="108"/>
      <c r="CJ607" s="108"/>
      <c r="CK607" s="108"/>
      <c r="CL607" s="108"/>
      <c r="CM607" s="108"/>
      <c r="CN607" s="110"/>
      <c r="CO607" s="111"/>
      <c r="CP607" s="110"/>
      <c r="CQ607" s="111"/>
      <c r="CR607" s="110"/>
      <c r="CS607" s="111"/>
      <c r="CT607" s="112">
        <f t="shared" si="160"/>
        <v>0</v>
      </c>
      <c r="CU607" s="113"/>
      <c r="CV607" s="114"/>
      <c r="CW607" s="115"/>
      <c r="CX607" s="116"/>
      <c r="CY607" s="117"/>
      <c r="CZ607" s="116"/>
      <c r="DA607" s="113"/>
      <c r="DB607" s="114"/>
      <c r="DC607" s="64"/>
      <c r="DD607" s="118"/>
    </row>
    <row r="608" spans="1:108" ht="84" outlineLevel="2">
      <c r="A608" s="178">
        <v>40483</v>
      </c>
      <c r="B608" s="164" t="s">
        <v>1142</v>
      </c>
      <c r="C608" s="164" t="s">
        <v>2269</v>
      </c>
      <c r="D608" s="166" t="s">
        <v>1262</v>
      </c>
      <c r="E608" s="163"/>
      <c r="F608" s="105"/>
      <c r="G608" s="105"/>
      <c r="H608" s="105">
        <f>680+600</f>
        <v>1280</v>
      </c>
      <c r="I608" s="105">
        <v>256</v>
      </c>
      <c r="J608" s="105"/>
      <c r="K608" s="105">
        <f>136+120</f>
        <v>256</v>
      </c>
      <c r="L608" s="105">
        <v>1</v>
      </c>
      <c r="M608" s="105"/>
      <c r="N608" s="105"/>
      <c r="O608" s="105"/>
      <c r="P608" s="105"/>
      <c r="Q608" s="105"/>
      <c r="R608" s="105"/>
      <c r="S608" s="105"/>
      <c r="T608" s="106"/>
      <c r="U608" s="130"/>
      <c r="V608" s="1">
        <v>40514</v>
      </c>
      <c r="W608" s="68">
        <f t="shared" si="156"/>
        <v>9928000</v>
      </c>
      <c r="X608" s="68">
        <f t="shared" si="157"/>
        <v>0</v>
      </c>
      <c r="Y608" s="68">
        <f t="shared" si="155"/>
        <v>0</v>
      </c>
      <c r="Z608" s="68">
        <f t="shared" si="158"/>
        <v>0</v>
      </c>
      <c r="AA608" s="68">
        <f>70*25520+30*17400</f>
        <v>2308400</v>
      </c>
      <c r="AB608" s="68">
        <v>0</v>
      </c>
      <c r="AC608" s="69">
        <f t="shared" si="159"/>
        <v>12236400</v>
      </c>
      <c r="AD608" s="70">
        <f>25988000-9928000</f>
        <v>16060000</v>
      </c>
      <c r="AE608" s="63">
        <v>40484</v>
      </c>
      <c r="AF608" s="72">
        <v>58953</v>
      </c>
      <c r="AG608" s="63" t="s">
        <v>954</v>
      </c>
      <c r="AH608" s="23" t="s">
        <v>955</v>
      </c>
      <c r="AI608" s="75" t="s">
        <v>2330</v>
      </c>
      <c r="AJ608" s="133" t="s">
        <v>415</v>
      </c>
      <c r="AK608" s="121" t="s">
        <v>2333</v>
      </c>
      <c r="AL608" s="107"/>
      <c r="AM608" s="108"/>
      <c r="AN608" s="109"/>
      <c r="AO608" s="108"/>
      <c r="AP608" s="108"/>
      <c r="AQ608" s="108"/>
      <c r="AR608" s="108"/>
      <c r="AS608" s="108"/>
      <c r="AT608" s="108"/>
      <c r="AU608" s="108"/>
      <c r="AV608" s="108"/>
      <c r="AW608" s="108"/>
      <c r="AX608" s="108"/>
      <c r="AY608" s="108"/>
      <c r="AZ608" s="108"/>
      <c r="BA608" s="108"/>
      <c r="BB608" s="108"/>
      <c r="BC608" s="108"/>
      <c r="BD608" s="108"/>
      <c r="BE608" s="108"/>
      <c r="BF608" s="108"/>
      <c r="BG608" s="108"/>
      <c r="BH608" s="108"/>
      <c r="BI608" s="108"/>
      <c r="BJ608" s="108"/>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108"/>
      <c r="CG608" s="108"/>
      <c r="CH608" s="108"/>
      <c r="CI608" s="108"/>
      <c r="CJ608" s="108"/>
      <c r="CK608" s="108"/>
      <c r="CL608" s="108"/>
      <c r="CM608" s="108"/>
      <c r="CN608" s="110">
        <v>136</v>
      </c>
      <c r="CO608" s="111">
        <f>136*37000</f>
        <v>5032000</v>
      </c>
      <c r="CP608" s="110">
        <v>136</v>
      </c>
      <c r="CQ608" s="111">
        <f>136*36000</f>
        <v>4896000</v>
      </c>
      <c r="CR608" s="110"/>
      <c r="CS608" s="111"/>
      <c r="CT608" s="112">
        <f t="shared" si="160"/>
        <v>9928000</v>
      </c>
      <c r="CU608" s="113"/>
      <c r="CV608" s="114"/>
      <c r="CW608" s="115"/>
      <c r="CX608" s="116"/>
      <c r="CY608" s="117"/>
      <c r="CZ608" s="116"/>
      <c r="DA608" s="113"/>
      <c r="DB608" s="114"/>
      <c r="DC608" s="64"/>
      <c r="DD608" s="118"/>
    </row>
    <row r="609" spans="1:108" ht="36" outlineLevel="2">
      <c r="A609" s="178">
        <v>40487</v>
      </c>
      <c r="B609" s="164" t="s">
        <v>1142</v>
      </c>
      <c r="C609" s="164" t="s">
        <v>1143</v>
      </c>
      <c r="D609" s="166" t="s">
        <v>1262</v>
      </c>
      <c r="E609" s="163"/>
      <c r="F609" s="105"/>
      <c r="G609" s="105"/>
      <c r="H609" s="105"/>
      <c r="I609" s="105"/>
      <c r="J609" s="105"/>
      <c r="K609" s="105"/>
      <c r="L609" s="105"/>
      <c r="M609" s="105"/>
      <c r="N609" s="105"/>
      <c r="O609" s="105"/>
      <c r="P609" s="105"/>
      <c r="Q609" s="105"/>
      <c r="R609" s="105"/>
      <c r="S609" s="105"/>
      <c r="T609" s="106"/>
      <c r="U609" s="130"/>
      <c r="V609" s="1"/>
      <c r="W609" s="68">
        <f t="shared" si="156"/>
        <v>0</v>
      </c>
      <c r="X609" s="68">
        <f t="shared" si="157"/>
        <v>0</v>
      </c>
      <c r="Y609" s="68">
        <f t="shared" si="155"/>
        <v>0</v>
      </c>
      <c r="Z609" s="68">
        <f t="shared" si="158"/>
        <v>0</v>
      </c>
      <c r="AA609" s="68"/>
      <c r="AB609" s="68">
        <v>0</v>
      </c>
      <c r="AC609" s="69">
        <f t="shared" si="159"/>
        <v>0</v>
      </c>
      <c r="AD609" s="70">
        <v>0</v>
      </c>
      <c r="AE609" s="63">
        <v>40490</v>
      </c>
      <c r="AF609" s="72"/>
      <c r="AG609" s="63" t="s">
        <v>938</v>
      </c>
      <c r="AH609" s="23" t="s">
        <v>939</v>
      </c>
      <c r="AI609" s="60"/>
      <c r="AJ609" s="124" t="s">
        <v>1608</v>
      </c>
      <c r="AK609" s="121" t="s">
        <v>454</v>
      </c>
      <c r="AL609" s="107"/>
      <c r="AM609" s="108"/>
      <c r="AN609" s="109"/>
      <c r="AO609" s="108"/>
      <c r="AP609" s="108"/>
      <c r="AQ609" s="108"/>
      <c r="AR609" s="108"/>
      <c r="AS609" s="108"/>
      <c r="AT609" s="108"/>
      <c r="AU609" s="108"/>
      <c r="AV609" s="108"/>
      <c r="AW609" s="108"/>
      <c r="AX609" s="108"/>
      <c r="AY609" s="108"/>
      <c r="AZ609" s="108"/>
      <c r="BA609" s="108"/>
      <c r="BB609" s="108"/>
      <c r="BC609" s="108"/>
      <c r="BD609" s="108"/>
      <c r="BE609" s="108"/>
      <c r="BF609" s="108"/>
      <c r="BG609" s="108"/>
      <c r="BH609" s="108"/>
      <c r="BI609" s="108"/>
      <c r="BJ609" s="108"/>
      <c r="BK609" s="108"/>
      <c r="BL609" s="108"/>
      <c r="BM609" s="108"/>
      <c r="BN609" s="108"/>
      <c r="BO609" s="108"/>
      <c r="BP609" s="108"/>
      <c r="BQ609" s="108"/>
      <c r="BR609" s="108"/>
      <c r="BS609" s="108"/>
      <c r="BT609" s="108"/>
      <c r="BU609" s="108"/>
      <c r="BV609" s="108"/>
      <c r="BW609" s="108"/>
      <c r="BX609" s="108"/>
      <c r="BY609" s="108"/>
      <c r="BZ609" s="108"/>
      <c r="CA609" s="108"/>
      <c r="CB609" s="108"/>
      <c r="CC609" s="108"/>
      <c r="CD609" s="108"/>
      <c r="CE609" s="108"/>
      <c r="CF609" s="108"/>
      <c r="CG609" s="108"/>
      <c r="CH609" s="108"/>
      <c r="CI609" s="108"/>
      <c r="CJ609" s="108"/>
      <c r="CK609" s="108"/>
      <c r="CL609" s="108"/>
      <c r="CM609" s="108"/>
      <c r="CN609" s="110"/>
      <c r="CO609" s="111"/>
      <c r="CP609" s="110"/>
      <c r="CQ609" s="111"/>
      <c r="CR609" s="110"/>
      <c r="CS609" s="111"/>
      <c r="CT609" s="112">
        <f t="shared" si="160"/>
        <v>0</v>
      </c>
      <c r="CU609" s="113"/>
      <c r="CV609" s="114"/>
      <c r="CW609" s="115"/>
      <c r="CX609" s="116"/>
      <c r="CY609" s="117"/>
      <c r="CZ609" s="116"/>
      <c r="DA609" s="113"/>
      <c r="DB609" s="114"/>
      <c r="DC609" s="64"/>
      <c r="DD609" s="118"/>
    </row>
    <row r="610" spans="1:108" ht="24" outlineLevel="2">
      <c r="A610" s="178">
        <v>40487</v>
      </c>
      <c r="B610" s="164" t="s">
        <v>1142</v>
      </c>
      <c r="C610" s="164" t="s">
        <v>1329</v>
      </c>
      <c r="D610" s="166" t="s">
        <v>1262</v>
      </c>
      <c r="E610" s="163"/>
      <c r="F610" s="105"/>
      <c r="G610" s="105"/>
      <c r="H610" s="105">
        <v>15</v>
      </c>
      <c r="I610" s="105">
        <v>3</v>
      </c>
      <c r="J610" s="105"/>
      <c r="K610" s="105">
        <v>3</v>
      </c>
      <c r="L610" s="105"/>
      <c r="M610" s="105"/>
      <c r="N610" s="105"/>
      <c r="O610" s="105"/>
      <c r="P610" s="105"/>
      <c r="Q610" s="105"/>
      <c r="R610" s="105"/>
      <c r="S610" s="105"/>
      <c r="T610" s="106"/>
      <c r="U610" s="130"/>
      <c r="V610" s="1"/>
      <c r="W610" s="68">
        <f t="shared" si="156"/>
        <v>0</v>
      </c>
      <c r="X610" s="68">
        <f t="shared" si="157"/>
        <v>0</v>
      </c>
      <c r="Y610" s="68">
        <f t="shared" si="155"/>
        <v>0</v>
      </c>
      <c r="Z610" s="68">
        <f t="shared" si="158"/>
        <v>0</v>
      </c>
      <c r="AA610" s="68"/>
      <c r="AB610" s="68">
        <v>0</v>
      </c>
      <c r="AC610" s="69">
        <f t="shared" si="159"/>
        <v>0</v>
      </c>
      <c r="AD610" s="70">
        <v>0</v>
      </c>
      <c r="AE610" s="63">
        <v>40490</v>
      </c>
      <c r="AF610" s="72"/>
      <c r="AG610" s="63" t="s">
        <v>938</v>
      </c>
      <c r="AH610" s="23" t="s">
        <v>939</v>
      </c>
      <c r="AI610" s="60"/>
      <c r="AJ610" s="124" t="s">
        <v>1608</v>
      </c>
      <c r="AK610" s="121" t="s">
        <v>474</v>
      </c>
      <c r="AL610" s="107"/>
      <c r="AM610" s="108"/>
      <c r="AN610" s="109"/>
      <c r="AO610" s="108"/>
      <c r="AP610" s="108"/>
      <c r="AQ610" s="108"/>
      <c r="AR610" s="108"/>
      <c r="AS610" s="108"/>
      <c r="AT610" s="108"/>
      <c r="AU610" s="108"/>
      <c r="AV610" s="108"/>
      <c r="AW610" s="108"/>
      <c r="AX610" s="108"/>
      <c r="AY610" s="108"/>
      <c r="AZ610" s="108"/>
      <c r="BA610" s="108"/>
      <c r="BB610" s="108"/>
      <c r="BC610" s="108"/>
      <c r="BD610" s="108"/>
      <c r="BE610" s="108"/>
      <c r="BF610" s="108"/>
      <c r="BG610" s="108"/>
      <c r="BH610" s="108"/>
      <c r="BI610" s="108"/>
      <c r="BJ610" s="108"/>
      <c r="BK610" s="108"/>
      <c r="BL610" s="108"/>
      <c r="BM610" s="108"/>
      <c r="BN610" s="108"/>
      <c r="BO610" s="108"/>
      <c r="BP610" s="108"/>
      <c r="BQ610" s="108"/>
      <c r="BR610" s="108"/>
      <c r="BS610" s="108"/>
      <c r="BT610" s="108"/>
      <c r="BU610" s="108"/>
      <c r="BV610" s="108"/>
      <c r="BW610" s="108"/>
      <c r="BX610" s="108"/>
      <c r="BY610" s="108"/>
      <c r="BZ610" s="108"/>
      <c r="CA610" s="108"/>
      <c r="CB610" s="108"/>
      <c r="CC610" s="108"/>
      <c r="CD610" s="108"/>
      <c r="CE610" s="108"/>
      <c r="CF610" s="108"/>
      <c r="CG610" s="108"/>
      <c r="CH610" s="108"/>
      <c r="CI610" s="108"/>
      <c r="CJ610" s="108"/>
      <c r="CK610" s="108"/>
      <c r="CL610" s="108"/>
      <c r="CM610" s="108"/>
      <c r="CN610" s="110"/>
      <c r="CO610" s="111"/>
      <c r="CP610" s="110"/>
      <c r="CQ610" s="111"/>
      <c r="CR610" s="110"/>
      <c r="CS610" s="111"/>
      <c r="CT610" s="112">
        <f t="shared" si="160"/>
        <v>0</v>
      </c>
      <c r="CU610" s="113"/>
      <c r="CV610" s="114"/>
      <c r="CW610" s="115"/>
      <c r="CX610" s="116"/>
      <c r="CY610" s="117"/>
      <c r="CZ610" s="116"/>
      <c r="DA610" s="113"/>
      <c r="DB610" s="114"/>
      <c r="DC610" s="64"/>
      <c r="DD610" s="118"/>
    </row>
    <row r="611" spans="1:108" ht="36" outlineLevel="2">
      <c r="A611" s="178">
        <v>40487</v>
      </c>
      <c r="B611" s="164" t="s">
        <v>1142</v>
      </c>
      <c r="C611" s="164" t="s">
        <v>418</v>
      </c>
      <c r="D611" s="166" t="s">
        <v>1262</v>
      </c>
      <c r="E611" s="163"/>
      <c r="F611" s="105"/>
      <c r="G611" s="105"/>
      <c r="H611" s="105">
        <v>1360</v>
      </c>
      <c r="I611" s="105">
        <v>272</v>
      </c>
      <c r="J611" s="105"/>
      <c r="K611" s="105">
        <v>272</v>
      </c>
      <c r="L611" s="105"/>
      <c r="M611" s="105"/>
      <c r="N611" s="105"/>
      <c r="O611" s="105"/>
      <c r="P611" s="105"/>
      <c r="Q611" s="105"/>
      <c r="R611" s="105"/>
      <c r="S611" s="105"/>
      <c r="T611" s="106"/>
      <c r="U611" s="130"/>
      <c r="V611" s="1"/>
      <c r="W611" s="68">
        <f t="shared" si="156"/>
        <v>0</v>
      </c>
      <c r="X611" s="68">
        <f t="shared" si="157"/>
        <v>0</v>
      </c>
      <c r="Y611" s="68">
        <f t="shared" si="155"/>
        <v>0</v>
      </c>
      <c r="Z611" s="68">
        <f t="shared" si="158"/>
        <v>0</v>
      </c>
      <c r="AA611" s="68"/>
      <c r="AB611" s="68">
        <v>0</v>
      </c>
      <c r="AC611" s="69">
        <f t="shared" si="159"/>
        <v>0</v>
      </c>
      <c r="AD611" s="70">
        <v>0</v>
      </c>
      <c r="AE611" s="63">
        <v>40490</v>
      </c>
      <c r="AF611" s="72"/>
      <c r="AG611" s="63" t="s">
        <v>938</v>
      </c>
      <c r="AH611" s="23" t="s">
        <v>939</v>
      </c>
      <c r="AI611" s="60"/>
      <c r="AJ611" s="124" t="s">
        <v>1608</v>
      </c>
      <c r="AK611" s="121" t="s">
        <v>463</v>
      </c>
      <c r="AL611" s="107"/>
      <c r="AM611" s="108"/>
      <c r="AN611" s="109"/>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c r="CN611" s="110"/>
      <c r="CO611" s="111"/>
      <c r="CP611" s="110"/>
      <c r="CQ611" s="111"/>
      <c r="CR611" s="110"/>
      <c r="CS611" s="111"/>
      <c r="CT611" s="112">
        <f t="shared" si="160"/>
        <v>0</v>
      </c>
      <c r="CU611" s="113"/>
      <c r="CV611" s="114"/>
      <c r="CW611" s="115"/>
      <c r="CX611" s="116"/>
      <c r="CY611" s="117"/>
      <c r="CZ611" s="116"/>
      <c r="DA611" s="113"/>
      <c r="DB611" s="114"/>
      <c r="DC611" s="64"/>
      <c r="DD611" s="118"/>
    </row>
    <row r="612" spans="1:108" ht="24" outlineLevel="2">
      <c r="A612" s="178">
        <v>40488</v>
      </c>
      <c r="B612" s="164" t="s">
        <v>1142</v>
      </c>
      <c r="C612" s="164" t="s">
        <v>1091</v>
      </c>
      <c r="D612" s="166" t="s">
        <v>1262</v>
      </c>
      <c r="E612" s="163">
        <v>1</v>
      </c>
      <c r="F612" s="105"/>
      <c r="G612" s="105"/>
      <c r="H612" s="105"/>
      <c r="I612" s="105"/>
      <c r="J612" s="105"/>
      <c r="K612" s="105"/>
      <c r="L612" s="105"/>
      <c r="M612" s="105"/>
      <c r="N612" s="105"/>
      <c r="O612" s="105"/>
      <c r="P612" s="105"/>
      <c r="Q612" s="105"/>
      <c r="R612" s="105"/>
      <c r="S612" s="105"/>
      <c r="T612" s="106"/>
      <c r="U612" s="130"/>
      <c r="V612" s="1"/>
      <c r="W612" s="68">
        <f t="shared" si="156"/>
        <v>0</v>
      </c>
      <c r="X612" s="68">
        <f t="shared" si="157"/>
        <v>0</v>
      </c>
      <c r="Y612" s="68">
        <f t="shared" si="155"/>
        <v>0</v>
      </c>
      <c r="Z612" s="68">
        <f t="shared" si="158"/>
        <v>0</v>
      </c>
      <c r="AA612" s="68"/>
      <c r="AB612" s="68">
        <v>0</v>
      </c>
      <c r="AC612" s="69">
        <f t="shared" si="159"/>
        <v>0</v>
      </c>
      <c r="AD612" s="70">
        <v>0</v>
      </c>
      <c r="AE612" s="63">
        <v>40490</v>
      </c>
      <c r="AF612" s="72"/>
      <c r="AG612" s="63" t="s">
        <v>938</v>
      </c>
      <c r="AH612" s="23" t="s">
        <v>939</v>
      </c>
      <c r="AI612" s="60"/>
      <c r="AJ612" s="124" t="s">
        <v>1608</v>
      </c>
      <c r="AK612" s="121" t="s">
        <v>475</v>
      </c>
      <c r="AL612" s="107"/>
      <c r="AM612" s="108"/>
      <c r="AN612" s="109"/>
      <c r="AO612" s="108"/>
      <c r="AP612" s="108"/>
      <c r="AQ612" s="108"/>
      <c r="AR612" s="108"/>
      <c r="AS612" s="108"/>
      <c r="AT612" s="108"/>
      <c r="AU612" s="108"/>
      <c r="AV612" s="108"/>
      <c r="AW612" s="108"/>
      <c r="AX612" s="108"/>
      <c r="AY612" s="108"/>
      <c r="AZ612" s="108"/>
      <c r="BA612" s="108"/>
      <c r="BB612" s="108"/>
      <c r="BC612" s="108"/>
      <c r="BD612" s="108"/>
      <c r="BE612" s="108"/>
      <c r="BF612" s="108"/>
      <c r="BG612" s="108"/>
      <c r="BH612" s="108"/>
      <c r="BI612" s="108"/>
      <c r="BJ612" s="108"/>
      <c r="BK612" s="108"/>
      <c r="BL612" s="108"/>
      <c r="BM612" s="108"/>
      <c r="BN612" s="108"/>
      <c r="BO612" s="108"/>
      <c r="BP612" s="108"/>
      <c r="BQ612" s="108"/>
      <c r="BR612" s="108"/>
      <c r="BS612" s="108"/>
      <c r="BT612" s="108"/>
      <c r="BU612" s="108"/>
      <c r="BV612" s="108"/>
      <c r="BW612" s="108"/>
      <c r="BX612" s="108"/>
      <c r="BY612" s="108"/>
      <c r="BZ612" s="108"/>
      <c r="CA612" s="108"/>
      <c r="CB612" s="108"/>
      <c r="CC612" s="108"/>
      <c r="CD612" s="108"/>
      <c r="CE612" s="108"/>
      <c r="CF612" s="108"/>
      <c r="CG612" s="108"/>
      <c r="CH612" s="108"/>
      <c r="CI612" s="108"/>
      <c r="CJ612" s="108"/>
      <c r="CK612" s="108"/>
      <c r="CL612" s="108"/>
      <c r="CM612" s="108"/>
      <c r="CN612" s="110"/>
      <c r="CO612" s="111"/>
      <c r="CP612" s="110"/>
      <c r="CQ612" s="111"/>
      <c r="CR612" s="110"/>
      <c r="CS612" s="111"/>
      <c r="CT612" s="112">
        <f t="shared" si="160"/>
        <v>0</v>
      </c>
      <c r="CU612" s="113"/>
      <c r="CV612" s="114"/>
      <c r="CW612" s="115"/>
      <c r="CX612" s="116"/>
      <c r="CY612" s="117"/>
      <c r="CZ612" s="116"/>
      <c r="DA612" s="113"/>
      <c r="DB612" s="114"/>
      <c r="DC612" s="64"/>
      <c r="DD612" s="118"/>
    </row>
    <row r="613" spans="1:108" ht="48" outlineLevel="2">
      <c r="A613" s="178">
        <v>40491</v>
      </c>
      <c r="B613" s="164" t="s">
        <v>1142</v>
      </c>
      <c r="C613" s="164" t="s">
        <v>1519</v>
      </c>
      <c r="D613" s="166" t="s">
        <v>1200</v>
      </c>
      <c r="E613" s="170"/>
      <c r="F613" s="160"/>
      <c r="G613" s="160"/>
      <c r="H613" s="183">
        <v>5153</v>
      </c>
      <c r="I613" s="183">
        <v>1260</v>
      </c>
      <c r="J613" s="183"/>
      <c r="K613" s="183">
        <v>1260</v>
      </c>
      <c r="L613" s="183"/>
      <c r="M613" s="160"/>
      <c r="N613" s="160"/>
      <c r="O613" s="160"/>
      <c r="P613" s="160"/>
      <c r="Q613" s="160"/>
      <c r="R613" s="160"/>
      <c r="S613" s="160"/>
      <c r="T613" s="161"/>
      <c r="U613" s="130"/>
      <c r="V613" s="1">
        <v>40526</v>
      </c>
      <c r="W613" s="68">
        <f t="shared" si="156"/>
        <v>102559520</v>
      </c>
      <c r="X613" s="68">
        <f t="shared" si="157"/>
        <v>107100000</v>
      </c>
      <c r="Y613" s="68">
        <f t="shared" si="155"/>
        <v>0</v>
      </c>
      <c r="Z613" s="68">
        <f t="shared" si="158"/>
        <v>0</v>
      </c>
      <c r="AA613" s="68"/>
      <c r="AB613" s="68">
        <v>0</v>
      </c>
      <c r="AC613" s="69">
        <f t="shared" si="159"/>
        <v>209659520</v>
      </c>
      <c r="AD613" s="70">
        <f>242720000-209659520</f>
        <v>33060480</v>
      </c>
      <c r="AE613" s="63">
        <v>40492</v>
      </c>
      <c r="AF613" s="162">
        <v>63575</v>
      </c>
      <c r="AG613" s="63" t="s">
        <v>954</v>
      </c>
      <c r="AH613" s="23" t="s">
        <v>955</v>
      </c>
      <c r="AI613" s="83">
        <v>26393</v>
      </c>
      <c r="AJ613" s="124" t="s">
        <v>1476</v>
      </c>
      <c r="AK613" s="121" t="s">
        <v>559</v>
      </c>
      <c r="AL613" s="107"/>
      <c r="AM613" s="108"/>
      <c r="AN613" s="109"/>
      <c r="AO613" s="108"/>
      <c r="AP613" s="108"/>
      <c r="AQ613" s="108"/>
      <c r="AR613" s="108"/>
      <c r="AS613" s="108"/>
      <c r="AT613" s="108"/>
      <c r="AU613" s="108"/>
      <c r="AV613" s="108"/>
      <c r="AW613" s="108"/>
      <c r="AX613" s="108">
        <v>1000</v>
      </c>
      <c r="AY613" s="108">
        <f>1000*56000</f>
        <v>56000000</v>
      </c>
      <c r="AZ613" s="108"/>
      <c r="BA613" s="108"/>
      <c r="BB613" s="108"/>
      <c r="BC613" s="108"/>
      <c r="BD613" s="108"/>
      <c r="BE613" s="108"/>
      <c r="BF613" s="108"/>
      <c r="BG613" s="108"/>
      <c r="BH613" s="108"/>
      <c r="BI613" s="108"/>
      <c r="BJ613" s="108"/>
      <c r="BK613" s="108"/>
      <c r="BL613" s="108"/>
      <c r="BM613" s="108"/>
      <c r="BN613" s="108"/>
      <c r="BO613" s="108"/>
      <c r="BP613" s="108"/>
      <c r="BQ613" s="108"/>
      <c r="BR613" s="108"/>
      <c r="BS613" s="108"/>
      <c r="BT613" s="108"/>
      <c r="BU613" s="108"/>
      <c r="BV613" s="108"/>
      <c r="BW613" s="108"/>
      <c r="BX613" s="108"/>
      <c r="BY613" s="108"/>
      <c r="BZ613" s="108"/>
      <c r="CA613" s="108"/>
      <c r="CB613" s="108"/>
      <c r="CC613" s="108"/>
      <c r="CD613" s="108"/>
      <c r="CE613" s="108"/>
      <c r="CF613" s="108"/>
      <c r="CG613" s="108"/>
      <c r="CH613" s="108"/>
      <c r="CI613" s="108"/>
      <c r="CJ613" s="108"/>
      <c r="CK613" s="108"/>
      <c r="CL613" s="108"/>
      <c r="CM613" s="108"/>
      <c r="CN613" s="110">
        <v>1260</v>
      </c>
      <c r="CO613" s="111">
        <f>1260*36952</f>
        <v>46559520</v>
      </c>
      <c r="CP613" s="110"/>
      <c r="CQ613" s="111"/>
      <c r="CR613" s="110"/>
      <c r="CS613" s="111"/>
      <c r="CT613" s="112">
        <f t="shared" si="160"/>
        <v>102559520</v>
      </c>
      <c r="CU613" s="113"/>
      <c r="CV613" s="114"/>
      <c r="CW613" s="115">
        <v>1260</v>
      </c>
      <c r="CX613" s="116">
        <f>1260*85000</f>
        <v>107100000</v>
      </c>
      <c r="CY613" s="117"/>
      <c r="CZ613" s="116"/>
      <c r="DA613" s="113"/>
      <c r="DB613" s="114"/>
      <c r="DC613" s="162"/>
      <c r="DD613" s="118"/>
    </row>
    <row r="614" spans="1:108" ht="36" outlineLevel="2">
      <c r="A614" s="178">
        <v>40491</v>
      </c>
      <c r="B614" s="164" t="s">
        <v>1142</v>
      </c>
      <c r="C614" s="164" t="s">
        <v>1918</v>
      </c>
      <c r="D614" s="166" t="s">
        <v>1262</v>
      </c>
      <c r="E614" s="163"/>
      <c r="F614" s="105"/>
      <c r="G614" s="105"/>
      <c r="H614" s="105">
        <v>125</v>
      </c>
      <c r="I614" s="105">
        <v>25</v>
      </c>
      <c r="J614" s="105"/>
      <c r="K614" s="105">
        <v>25</v>
      </c>
      <c r="L614" s="105"/>
      <c r="M614" s="105"/>
      <c r="N614" s="105"/>
      <c r="O614" s="105"/>
      <c r="P614" s="105"/>
      <c r="Q614" s="105"/>
      <c r="R614" s="105"/>
      <c r="S614" s="105"/>
      <c r="T614" s="106"/>
      <c r="U614" s="130"/>
      <c r="V614" s="1"/>
      <c r="W614" s="68">
        <f t="shared" si="156"/>
        <v>0</v>
      </c>
      <c r="X614" s="68">
        <f t="shared" si="157"/>
        <v>0</v>
      </c>
      <c r="Y614" s="68">
        <f t="shared" si="155"/>
        <v>0</v>
      </c>
      <c r="Z614" s="68">
        <f t="shared" si="158"/>
        <v>0</v>
      </c>
      <c r="AA614" s="68"/>
      <c r="AB614" s="68">
        <v>0</v>
      </c>
      <c r="AC614" s="69">
        <f t="shared" si="159"/>
        <v>0</v>
      </c>
      <c r="AD614" s="70">
        <v>0</v>
      </c>
      <c r="AE614" s="63">
        <v>40492</v>
      </c>
      <c r="AF614" s="72"/>
      <c r="AG614" s="63" t="s">
        <v>938</v>
      </c>
      <c r="AH614" s="23" t="s">
        <v>939</v>
      </c>
      <c r="AI614" s="60"/>
      <c r="AJ614" s="124" t="s">
        <v>1608</v>
      </c>
      <c r="AK614" s="121" t="s">
        <v>57</v>
      </c>
      <c r="AL614" s="107"/>
      <c r="AM614" s="108"/>
      <c r="AN614" s="109"/>
      <c r="AO614" s="108"/>
      <c r="AP614" s="108"/>
      <c r="AQ614" s="108"/>
      <c r="AR614" s="108"/>
      <c r="AS614" s="108"/>
      <c r="AT614" s="108"/>
      <c r="AU614" s="108"/>
      <c r="AV614" s="108"/>
      <c r="AW614" s="108"/>
      <c r="AX614" s="108"/>
      <c r="AY614" s="108"/>
      <c r="AZ614" s="108"/>
      <c r="BA614" s="108"/>
      <c r="BB614" s="108"/>
      <c r="BC614" s="108"/>
      <c r="BD614" s="108"/>
      <c r="BE614" s="108"/>
      <c r="BF614" s="108"/>
      <c r="BG614" s="108"/>
      <c r="BH614" s="108"/>
      <c r="BI614" s="108"/>
      <c r="BJ614" s="108"/>
      <c r="BK614" s="108"/>
      <c r="BL614" s="108"/>
      <c r="BM614" s="108"/>
      <c r="BN614" s="108"/>
      <c r="BO614" s="108"/>
      <c r="BP614" s="108"/>
      <c r="BQ614" s="108"/>
      <c r="BR614" s="108"/>
      <c r="BS614" s="108"/>
      <c r="BT614" s="108"/>
      <c r="BU614" s="108"/>
      <c r="BV614" s="108"/>
      <c r="BW614" s="108"/>
      <c r="BX614" s="108"/>
      <c r="BY614" s="108"/>
      <c r="BZ614" s="108"/>
      <c r="CA614" s="108"/>
      <c r="CB614" s="108"/>
      <c r="CC614" s="108"/>
      <c r="CD614" s="108"/>
      <c r="CE614" s="108"/>
      <c r="CF614" s="108"/>
      <c r="CG614" s="108"/>
      <c r="CH614" s="108"/>
      <c r="CI614" s="108"/>
      <c r="CJ614" s="108"/>
      <c r="CK614" s="108"/>
      <c r="CL614" s="108"/>
      <c r="CM614" s="108"/>
      <c r="CN614" s="110"/>
      <c r="CO614" s="111"/>
      <c r="CP614" s="110"/>
      <c r="CQ614" s="111"/>
      <c r="CR614" s="110"/>
      <c r="CS614" s="111"/>
      <c r="CT614" s="112">
        <f t="shared" si="160"/>
        <v>0</v>
      </c>
      <c r="CU614" s="113"/>
      <c r="CV614" s="114"/>
      <c r="CW614" s="115"/>
      <c r="CX614" s="116"/>
      <c r="CY614" s="117"/>
      <c r="CZ614" s="116"/>
      <c r="DA614" s="113"/>
      <c r="DB614" s="114"/>
      <c r="DC614" s="64"/>
      <c r="DD614" s="118"/>
    </row>
    <row r="615" spans="1:108" ht="33" outlineLevel="2">
      <c r="A615" s="178">
        <v>40491</v>
      </c>
      <c r="B615" s="164" t="s">
        <v>1142</v>
      </c>
      <c r="C615" s="164" t="s">
        <v>807</v>
      </c>
      <c r="D615" s="166" t="s">
        <v>1262</v>
      </c>
      <c r="E615" s="163"/>
      <c r="F615" s="105"/>
      <c r="G615" s="105"/>
      <c r="H615" s="105">
        <v>115</v>
      </c>
      <c r="I615" s="105">
        <v>23</v>
      </c>
      <c r="J615" s="105">
        <v>1</v>
      </c>
      <c r="K615" s="105">
        <v>22</v>
      </c>
      <c r="L615" s="105"/>
      <c r="M615" s="105"/>
      <c r="N615" s="105"/>
      <c r="O615" s="105"/>
      <c r="P615" s="105"/>
      <c r="Q615" s="105"/>
      <c r="R615" s="105"/>
      <c r="S615" s="105"/>
      <c r="T615" s="106"/>
      <c r="U615" s="130" t="s">
        <v>87</v>
      </c>
      <c r="V615" s="1"/>
      <c r="W615" s="68">
        <f t="shared" si="156"/>
        <v>0</v>
      </c>
      <c r="X615" s="68">
        <f t="shared" si="157"/>
        <v>0</v>
      </c>
      <c r="Y615" s="68">
        <f t="shared" si="155"/>
        <v>0</v>
      </c>
      <c r="Z615" s="68">
        <f t="shared" si="158"/>
        <v>0</v>
      </c>
      <c r="AA615" s="68"/>
      <c r="AB615" s="68">
        <v>0</v>
      </c>
      <c r="AC615" s="69">
        <f t="shared" si="159"/>
        <v>0</v>
      </c>
      <c r="AD615" s="70">
        <v>0</v>
      </c>
      <c r="AE615" s="63">
        <v>40492</v>
      </c>
      <c r="AF615" s="72"/>
      <c r="AG615" s="63" t="s">
        <v>938</v>
      </c>
      <c r="AH615" s="23" t="s">
        <v>939</v>
      </c>
      <c r="AI615" s="60"/>
      <c r="AJ615" s="124" t="s">
        <v>1608</v>
      </c>
      <c r="AK615" s="121" t="s">
        <v>86</v>
      </c>
      <c r="AL615" s="107"/>
      <c r="AM615" s="108"/>
      <c r="AN615" s="109"/>
      <c r="AO615" s="108"/>
      <c r="AP615" s="108"/>
      <c r="AQ615" s="108"/>
      <c r="AR615" s="108"/>
      <c r="AS615" s="108"/>
      <c r="AT615" s="108"/>
      <c r="AU615" s="108"/>
      <c r="AV615" s="108"/>
      <c r="AW615" s="108"/>
      <c r="AX615" s="108"/>
      <c r="AY615" s="108"/>
      <c r="AZ615" s="108"/>
      <c r="BA615" s="108"/>
      <c r="BB615" s="108"/>
      <c r="BC615" s="108"/>
      <c r="BD615" s="108"/>
      <c r="BE615" s="108"/>
      <c r="BF615" s="108"/>
      <c r="BG615" s="108"/>
      <c r="BH615" s="108"/>
      <c r="BI615" s="108"/>
      <c r="BJ615" s="108"/>
      <c r="BK615" s="108"/>
      <c r="BL615" s="108"/>
      <c r="BM615" s="108"/>
      <c r="BN615" s="108"/>
      <c r="BO615" s="108"/>
      <c r="BP615" s="108"/>
      <c r="BQ615" s="108"/>
      <c r="BR615" s="108"/>
      <c r="BS615" s="108"/>
      <c r="BT615" s="108"/>
      <c r="BU615" s="108"/>
      <c r="BV615" s="108"/>
      <c r="BW615" s="108"/>
      <c r="BX615" s="108"/>
      <c r="BY615" s="108"/>
      <c r="BZ615" s="108"/>
      <c r="CA615" s="108"/>
      <c r="CB615" s="108"/>
      <c r="CC615" s="108"/>
      <c r="CD615" s="108"/>
      <c r="CE615" s="108"/>
      <c r="CF615" s="108"/>
      <c r="CG615" s="108"/>
      <c r="CH615" s="108"/>
      <c r="CI615" s="108"/>
      <c r="CJ615" s="108"/>
      <c r="CK615" s="108"/>
      <c r="CL615" s="108"/>
      <c r="CM615" s="108"/>
      <c r="CN615" s="110"/>
      <c r="CO615" s="111"/>
      <c r="CP615" s="110"/>
      <c r="CQ615" s="111"/>
      <c r="CR615" s="110"/>
      <c r="CS615" s="111"/>
      <c r="CT615" s="112">
        <f t="shared" si="160"/>
        <v>0</v>
      </c>
      <c r="CU615" s="113"/>
      <c r="CV615" s="114"/>
      <c r="CW615" s="115"/>
      <c r="CX615" s="116"/>
      <c r="CY615" s="117"/>
      <c r="CZ615" s="116"/>
      <c r="DA615" s="113"/>
      <c r="DB615" s="114"/>
      <c r="DC615" s="64"/>
      <c r="DD615" s="118"/>
    </row>
    <row r="616" spans="1:108" ht="24" outlineLevel="2">
      <c r="A616" s="178">
        <v>40491</v>
      </c>
      <c r="B616" s="164" t="s">
        <v>1142</v>
      </c>
      <c r="C616" s="164" t="s">
        <v>503</v>
      </c>
      <c r="D616" s="166" t="s">
        <v>1262</v>
      </c>
      <c r="E616" s="163"/>
      <c r="F616" s="105"/>
      <c r="G616" s="105"/>
      <c r="H616" s="105"/>
      <c r="I616" s="105"/>
      <c r="J616" s="105"/>
      <c r="K616" s="105"/>
      <c r="L616" s="105"/>
      <c r="M616" s="105"/>
      <c r="N616" s="105"/>
      <c r="O616" s="105"/>
      <c r="P616" s="105"/>
      <c r="Q616" s="105"/>
      <c r="R616" s="105"/>
      <c r="S616" s="105"/>
      <c r="T616" s="106"/>
      <c r="U616" s="130"/>
      <c r="V616" s="1"/>
      <c r="W616" s="68">
        <f t="shared" si="156"/>
        <v>0</v>
      </c>
      <c r="X616" s="68">
        <f t="shared" si="157"/>
        <v>0</v>
      </c>
      <c r="Y616" s="68">
        <f t="shared" si="155"/>
        <v>0</v>
      </c>
      <c r="Z616" s="68">
        <f t="shared" si="158"/>
        <v>0</v>
      </c>
      <c r="AA616" s="68"/>
      <c r="AB616" s="68">
        <v>0</v>
      </c>
      <c r="AC616" s="69">
        <f t="shared" si="159"/>
        <v>0</v>
      </c>
      <c r="AD616" s="70">
        <v>0</v>
      </c>
      <c r="AE616" s="63">
        <v>40492</v>
      </c>
      <c r="AF616" s="72"/>
      <c r="AG616" s="63" t="s">
        <v>938</v>
      </c>
      <c r="AH616" s="23" t="s">
        <v>939</v>
      </c>
      <c r="AI616" s="60"/>
      <c r="AJ616" s="124" t="s">
        <v>1608</v>
      </c>
      <c r="AK616" s="121" t="s">
        <v>504</v>
      </c>
      <c r="AL616" s="107"/>
      <c r="AM616" s="108"/>
      <c r="AN616" s="109"/>
      <c r="AO616" s="108"/>
      <c r="AP616" s="108"/>
      <c r="AQ616" s="108"/>
      <c r="AR616" s="108"/>
      <c r="AS616" s="108"/>
      <c r="AT616" s="108"/>
      <c r="AU616" s="108"/>
      <c r="AV616" s="108"/>
      <c r="AW616" s="108"/>
      <c r="AX616" s="108"/>
      <c r="AY616" s="108"/>
      <c r="AZ616" s="108"/>
      <c r="BA616" s="108"/>
      <c r="BB616" s="108"/>
      <c r="BC616" s="108"/>
      <c r="BD616" s="108"/>
      <c r="BE616" s="108"/>
      <c r="BF616" s="108"/>
      <c r="BG616" s="108"/>
      <c r="BH616" s="108"/>
      <c r="BI616" s="108"/>
      <c r="BJ616" s="108"/>
      <c r="BK616" s="108"/>
      <c r="BL616" s="108"/>
      <c r="BM616" s="108"/>
      <c r="BN616" s="108"/>
      <c r="BO616" s="108"/>
      <c r="BP616" s="108"/>
      <c r="BQ616" s="108"/>
      <c r="BR616" s="108"/>
      <c r="BS616" s="108"/>
      <c r="BT616" s="108"/>
      <c r="BU616" s="108"/>
      <c r="BV616" s="108"/>
      <c r="BW616" s="108"/>
      <c r="BX616" s="108"/>
      <c r="BY616" s="108"/>
      <c r="BZ616" s="108"/>
      <c r="CA616" s="108"/>
      <c r="CB616" s="108"/>
      <c r="CC616" s="108"/>
      <c r="CD616" s="108"/>
      <c r="CE616" s="108"/>
      <c r="CF616" s="108"/>
      <c r="CG616" s="108"/>
      <c r="CH616" s="108"/>
      <c r="CI616" s="108"/>
      <c r="CJ616" s="108"/>
      <c r="CK616" s="108"/>
      <c r="CL616" s="108"/>
      <c r="CM616" s="108"/>
      <c r="CN616" s="110"/>
      <c r="CO616" s="111"/>
      <c r="CP616" s="110"/>
      <c r="CQ616" s="111"/>
      <c r="CR616" s="110"/>
      <c r="CS616" s="111"/>
      <c r="CT616" s="112">
        <f t="shared" si="160"/>
        <v>0</v>
      </c>
      <c r="CU616" s="113"/>
      <c r="CV616" s="114"/>
      <c r="CW616" s="115"/>
      <c r="CX616" s="116"/>
      <c r="CY616" s="117"/>
      <c r="CZ616" s="116"/>
      <c r="DA616" s="113"/>
      <c r="DB616" s="114"/>
      <c r="DC616" s="64"/>
      <c r="DD616" s="118"/>
    </row>
    <row r="617" spans="1:108" ht="22.5" outlineLevel="2">
      <c r="A617" s="178">
        <v>40494</v>
      </c>
      <c r="B617" s="164" t="s">
        <v>1142</v>
      </c>
      <c r="C617" s="164" t="s">
        <v>2264</v>
      </c>
      <c r="D617" s="166" t="s">
        <v>1262</v>
      </c>
      <c r="E617" s="163"/>
      <c r="F617" s="105"/>
      <c r="G617" s="105"/>
      <c r="H617" s="105">
        <v>1000</v>
      </c>
      <c r="I617" s="105">
        <v>200</v>
      </c>
      <c r="J617" s="105"/>
      <c r="K617" s="105">
        <v>200</v>
      </c>
      <c r="L617" s="105"/>
      <c r="M617" s="105"/>
      <c r="N617" s="105"/>
      <c r="O617" s="105"/>
      <c r="P617" s="105"/>
      <c r="Q617" s="105"/>
      <c r="R617" s="105"/>
      <c r="S617" s="105"/>
      <c r="T617" s="106"/>
      <c r="U617" s="130"/>
      <c r="V617" s="1"/>
      <c r="W617" s="68">
        <f t="shared" si="156"/>
        <v>0</v>
      </c>
      <c r="X617" s="68">
        <f t="shared" si="157"/>
        <v>0</v>
      </c>
      <c r="Y617" s="68">
        <f t="shared" si="155"/>
        <v>0</v>
      </c>
      <c r="Z617" s="68">
        <f t="shared" si="158"/>
        <v>0</v>
      </c>
      <c r="AA617" s="68"/>
      <c r="AB617" s="68">
        <v>0</v>
      </c>
      <c r="AC617" s="69">
        <f t="shared" si="159"/>
        <v>0</v>
      </c>
      <c r="AD617" s="70">
        <v>0</v>
      </c>
      <c r="AE617" s="63">
        <v>40497</v>
      </c>
      <c r="AF617" s="72"/>
      <c r="AG617" s="63" t="s">
        <v>938</v>
      </c>
      <c r="AH617" s="23" t="s">
        <v>939</v>
      </c>
      <c r="AI617" s="60"/>
      <c r="AJ617" s="124" t="s">
        <v>1608</v>
      </c>
      <c r="AK617" s="121" t="s">
        <v>28</v>
      </c>
      <c r="AL617" s="107"/>
      <c r="AM617" s="108"/>
      <c r="AN617" s="109"/>
      <c r="AO617" s="108"/>
      <c r="AP617" s="108"/>
      <c r="AQ617" s="108"/>
      <c r="AR617" s="108"/>
      <c r="AS617" s="108"/>
      <c r="AT617" s="108"/>
      <c r="AU617" s="108"/>
      <c r="AV617" s="108"/>
      <c r="AW617" s="108"/>
      <c r="AX617" s="108"/>
      <c r="AY617" s="108"/>
      <c r="AZ617" s="108"/>
      <c r="BA617" s="108"/>
      <c r="BB617" s="108"/>
      <c r="BC617" s="108"/>
      <c r="BD617" s="108"/>
      <c r="BE617" s="108"/>
      <c r="BF617" s="108"/>
      <c r="BG617" s="108"/>
      <c r="BH617" s="108"/>
      <c r="BI617" s="108"/>
      <c r="BJ617" s="108"/>
      <c r="BK617" s="108"/>
      <c r="BL617" s="108"/>
      <c r="BM617" s="108"/>
      <c r="BN617" s="108"/>
      <c r="BO617" s="108"/>
      <c r="BP617" s="108"/>
      <c r="BQ617" s="108"/>
      <c r="BR617" s="108"/>
      <c r="BS617" s="108"/>
      <c r="BT617" s="108"/>
      <c r="BU617" s="108"/>
      <c r="BV617" s="108"/>
      <c r="BW617" s="108"/>
      <c r="BX617" s="108"/>
      <c r="BY617" s="108"/>
      <c r="BZ617" s="108"/>
      <c r="CA617" s="108"/>
      <c r="CB617" s="108"/>
      <c r="CC617" s="108"/>
      <c r="CD617" s="108"/>
      <c r="CE617" s="108"/>
      <c r="CF617" s="108"/>
      <c r="CG617" s="108"/>
      <c r="CH617" s="108"/>
      <c r="CI617" s="108"/>
      <c r="CJ617" s="108"/>
      <c r="CK617" s="108"/>
      <c r="CL617" s="108"/>
      <c r="CM617" s="108"/>
      <c r="CN617" s="110"/>
      <c r="CO617" s="111"/>
      <c r="CP617" s="110"/>
      <c r="CQ617" s="111"/>
      <c r="CR617" s="110"/>
      <c r="CS617" s="111"/>
      <c r="CT617" s="112">
        <f t="shared" si="160"/>
        <v>0</v>
      </c>
      <c r="CU617" s="113"/>
      <c r="CV617" s="114"/>
      <c r="CW617" s="115"/>
      <c r="CX617" s="116"/>
      <c r="CY617" s="117"/>
      <c r="CZ617" s="116"/>
      <c r="DA617" s="113"/>
      <c r="DB617" s="114"/>
      <c r="DC617" s="64"/>
      <c r="DD617" s="118"/>
    </row>
    <row r="618" spans="1:108" ht="24" outlineLevel="2">
      <c r="A618" s="178">
        <v>40498</v>
      </c>
      <c r="B618" s="164" t="s">
        <v>1142</v>
      </c>
      <c r="C618" s="164" t="s">
        <v>1918</v>
      </c>
      <c r="D618" s="166" t="s">
        <v>1262</v>
      </c>
      <c r="E618" s="163">
        <v>1</v>
      </c>
      <c r="F618" s="105"/>
      <c r="G618" s="105"/>
      <c r="H618" s="105"/>
      <c r="I618" s="105"/>
      <c r="J618" s="105"/>
      <c r="K618" s="105"/>
      <c r="L618" s="105"/>
      <c r="M618" s="105"/>
      <c r="N618" s="105"/>
      <c r="O618" s="105"/>
      <c r="P618" s="105"/>
      <c r="Q618" s="105"/>
      <c r="R618" s="105"/>
      <c r="S618" s="105"/>
      <c r="T618" s="106"/>
      <c r="U618" s="130"/>
      <c r="V618" s="1"/>
      <c r="W618" s="68">
        <f t="shared" si="156"/>
        <v>0</v>
      </c>
      <c r="X618" s="68">
        <f t="shared" si="157"/>
        <v>0</v>
      </c>
      <c r="Y618" s="68">
        <f t="shared" si="155"/>
        <v>0</v>
      </c>
      <c r="Z618" s="68">
        <f t="shared" si="158"/>
        <v>0</v>
      </c>
      <c r="AA618" s="68"/>
      <c r="AB618" s="68">
        <v>0</v>
      </c>
      <c r="AC618" s="69">
        <f t="shared" si="159"/>
        <v>0</v>
      </c>
      <c r="AD618" s="70">
        <v>0</v>
      </c>
      <c r="AE618" s="63">
        <v>40497</v>
      </c>
      <c r="AF618" s="72"/>
      <c r="AG618" s="63" t="s">
        <v>938</v>
      </c>
      <c r="AH618" s="23" t="s">
        <v>939</v>
      </c>
      <c r="AI618" s="60"/>
      <c r="AJ618" s="124" t="s">
        <v>1608</v>
      </c>
      <c r="AK618" s="121" t="s">
        <v>77</v>
      </c>
      <c r="AL618" s="107"/>
      <c r="AM618" s="108"/>
      <c r="AN618" s="109"/>
      <c r="AO618" s="108"/>
      <c r="AP618" s="108"/>
      <c r="AQ618" s="108"/>
      <c r="AR618" s="108"/>
      <c r="AS618" s="108"/>
      <c r="AT618" s="108"/>
      <c r="AU618" s="108"/>
      <c r="AV618" s="108"/>
      <c r="AW618" s="108"/>
      <c r="AX618" s="108"/>
      <c r="AY618" s="108"/>
      <c r="AZ618" s="108"/>
      <c r="BA618" s="108"/>
      <c r="BB618" s="108"/>
      <c r="BC618" s="108"/>
      <c r="BD618" s="108"/>
      <c r="BE618" s="108"/>
      <c r="BF618" s="108"/>
      <c r="BG618" s="108"/>
      <c r="BH618" s="108"/>
      <c r="BI618" s="108"/>
      <c r="BJ618" s="108"/>
      <c r="BK618" s="108"/>
      <c r="BL618" s="108"/>
      <c r="BM618" s="108"/>
      <c r="BN618" s="108"/>
      <c r="BO618" s="108"/>
      <c r="BP618" s="108"/>
      <c r="BQ618" s="108"/>
      <c r="BR618" s="108"/>
      <c r="BS618" s="108"/>
      <c r="BT618" s="108"/>
      <c r="BU618" s="108"/>
      <c r="BV618" s="108"/>
      <c r="BW618" s="108"/>
      <c r="BX618" s="108"/>
      <c r="BY618" s="108"/>
      <c r="BZ618" s="108"/>
      <c r="CA618" s="108"/>
      <c r="CB618" s="108"/>
      <c r="CC618" s="108"/>
      <c r="CD618" s="108"/>
      <c r="CE618" s="108"/>
      <c r="CF618" s="108"/>
      <c r="CG618" s="108"/>
      <c r="CH618" s="108"/>
      <c r="CI618" s="108"/>
      <c r="CJ618" s="108"/>
      <c r="CK618" s="108"/>
      <c r="CL618" s="108"/>
      <c r="CM618" s="108"/>
      <c r="CN618" s="110"/>
      <c r="CO618" s="111"/>
      <c r="CP618" s="110"/>
      <c r="CQ618" s="111"/>
      <c r="CR618" s="110"/>
      <c r="CS618" s="111"/>
      <c r="CT618" s="112">
        <f t="shared" si="160"/>
        <v>0</v>
      </c>
      <c r="CU618" s="113"/>
      <c r="CV618" s="114"/>
      <c r="CW618" s="115"/>
      <c r="CX618" s="116"/>
      <c r="CY618" s="117"/>
      <c r="CZ618" s="116"/>
      <c r="DA618" s="113"/>
      <c r="DB618" s="114"/>
      <c r="DC618" s="64"/>
      <c r="DD618" s="118"/>
    </row>
    <row r="619" spans="1:108" outlineLevel="2">
      <c r="A619" s="178">
        <v>40500</v>
      </c>
      <c r="B619" s="164" t="s">
        <v>1142</v>
      </c>
      <c r="C619" s="164" t="s">
        <v>1519</v>
      </c>
      <c r="D619" s="166" t="s">
        <v>1262</v>
      </c>
      <c r="E619" s="163"/>
      <c r="F619" s="105"/>
      <c r="G619" s="105"/>
      <c r="H619" s="105">
        <v>860</v>
      </c>
      <c r="I619" s="105">
        <v>172</v>
      </c>
      <c r="J619" s="105"/>
      <c r="K619" s="105">
        <v>172</v>
      </c>
      <c r="L619" s="105"/>
      <c r="M619" s="105"/>
      <c r="N619" s="105"/>
      <c r="O619" s="105"/>
      <c r="P619" s="105"/>
      <c r="Q619" s="105"/>
      <c r="R619" s="105"/>
      <c r="S619" s="105"/>
      <c r="T619" s="106"/>
      <c r="U619" s="130"/>
      <c r="V619" s="1"/>
      <c r="W619" s="68">
        <f t="shared" si="156"/>
        <v>0</v>
      </c>
      <c r="X619" s="68">
        <f t="shared" si="157"/>
        <v>0</v>
      </c>
      <c r="Y619" s="68">
        <f t="shared" si="155"/>
        <v>0</v>
      </c>
      <c r="Z619" s="68">
        <f t="shared" si="158"/>
        <v>0</v>
      </c>
      <c r="AA619" s="68"/>
      <c r="AB619" s="68">
        <v>0</v>
      </c>
      <c r="AC619" s="69">
        <f t="shared" si="159"/>
        <v>0</v>
      </c>
      <c r="AD619" s="70">
        <v>0</v>
      </c>
      <c r="AE619" s="63">
        <v>40504</v>
      </c>
      <c r="AF619" s="72"/>
      <c r="AG619" s="63" t="s">
        <v>938</v>
      </c>
      <c r="AH619" s="23" t="s">
        <v>939</v>
      </c>
      <c r="AI619" s="60"/>
      <c r="AJ619" s="124" t="s">
        <v>1608</v>
      </c>
      <c r="AK619" s="121" t="s">
        <v>1565</v>
      </c>
      <c r="AL619" s="107"/>
      <c r="AM619" s="108"/>
      <c r="AN619" s="109"/>
      <c r="AO619" s="108"/>
      <c r="AP619" s="108"/>
      <c r="AQ619" s="108"/>
      <c r="AR619" s="108"/>
      <c r="AS619" s="108"/>
      <c r="AT619" s="108"/>
      <c r="AU619" s="108"/>
      <c r="AV619" s="108"/>
      <c r="AW619" s="108"/>
      <c r="AX619" s="108"/>
      <c r="AY619" s="108"/>
      <c r="AZ619" s="108"/>
      <c r="BA619" s="108"/>
      <c r="BB619" s="108"/>
      <c r="BC619" s="108"/>
      <c r="BD619" s="108"/>
      <c r="BE619" s="108"/>
      <c r="BF619" s="108"/>
      <c r="BG619" s="108"/>
      <c r="BH619" s="108"/>
      <c r="BI619" s="108"/>
      <c r="BJ619" s="108"/>
      <c r="BK619" s="108"/>
      <c r="BL619" s="108"/>
      <c r="BM619" s="108"/>
      <c r="BN619" s="108"/>
      <c r="BO619" s="108"/>
      <c r="BP619" s="108"/>
      <c r="BQ619" s="108"/>
      <c r="BR619" s="108"/>
      <c r="BS619" s="108"/>
      <c r="BT619" s="108"/>
      <c r="BU619" s="108"/>
      <c r="BV619" s="108"/>
      <c r="BW619" s="108"/>
      <c r="BX619" s="108"/>
      <c r="BY619" s="108"/>
      <c r="BZ619" s="108"/>
      <c r="CA619" s="108"/>
      <c r="CB619" s="108"/>
      <c r="CC619" s="108"/>
      <c r="CD619" s="108"/>
      <c r="CE619" s="108"/>
      <c r="CF619" s="108"/>
      <c r="CG619" s="108"/>
      <c r="CH619" s="108"/>
      <c r="CI619" s="108"/>
      <c r="CJ619" s="108"/>
      <c r="CK619" s="108"/>
      <c r="CL619" s="108"/>
      <c r="CM619" s="108"/>
      <c r="CN619" s="110"/>
      <c r="CO619" s="111"/>
      <c r="CP619" s="110"/>
      <c r="CQ619" s="111"/>
      <c r="CR619" s="110"/>
      <c r="CS619" s="111"/>
      <c r="CT619" s="112">
        <f t="shared" si="160"/>
        <v>0</v>
      </c>
      <c r="CU619" s="113"/>
      <c r="CV619" s="114"/>
      <c r="CW619" s="115"/>
      <c r="CX619" s="116"/>
      <c r="CY619" s="117"/>
      <c r="CZ619" s="116"/>
      <c r="DA619" s="113"/>
      <c r="DB619" s="114"/>
      <c r="DC619" s="64"/>
      <c r="DD619" s="118"/>
    </row>
    <row r="620" spans="1:108" ht="48" outlineLevel="2">
      <c r="A620" s="178">
        <v>40500</v>
      </c>
      <c r="B620" s="164" t="s">
        <v>1142</v>
      </c>
      <c r="C620" s="164" t="s">
        <v>2325</v>
      </c>
      <c r="D620" s="165" t="s">
        <v>1182</v>
      </c>
      <c r="E620" s="163"/>
      <c r="F620" s="105"/>
      <c r="G620" s="105"/>
      <c r="H620" s="105"/>
      <c r="I620" s="105"/>
      <c r="J620" s="105"/>
      <c r="K620" s="105"/>
      <c r="L620" s="105"/>
      <c r="M620" s="105">
        <v>1</v>
      </c>
      <c r="N620" s="105"/>
      <c r="O620" s="105"/>
      <c r="P620" s="105"/>
      <c r="Q620" s="105"/>
      <c r="R620" s="105"/>
      <c r="S620" s="105"/>
      <c r="T620" s="106"/>
      <c r="U620" s="130"/>
      <c r="V620" s="1"/>
      <c r="W620" s="68">
        <f t="shared" si="156"/>
        <v>0</v>
      </c>
      <c r="X620" s="68">
        <f t="shared" si="157"/>
        <v>0</v>
      </c>
      <c r="Y620" s="68">
        <f t="shared" si="155"/>
        <v>0</v>
      </c>
      <c r="Z620" s="68">
        <f t="shared" si="158"/>
        <v>0</v>
      </c>
      <c r="AA620" s="68"/>
      <c r="AB620" s="68">
        <v>0</v>
      </c>
      <c r="AC620" s="69">
        <f t="shared" si="159"/>
        <v>0</v>
      </c>
      <c r="AD620" s="70">
        <v>0</v>
      </c>
      <c r="AE620" s="63">
        <v>40504</v>
      </c>
      <c r="AF620" s="72"/>
      <c r="AG620" s="63" t="s">
        <v>938</v>
      </c>
      <c r="AH620" s="23" t="s">
        <v>939</v>
      </c>
      <c r="AI620" s="60"/>
      <c r="AJ620" s="124" t="s">
        <v>1608</v>
      </c>
      <c r="AK620" s="121" t="s">
        <v>624</v>
      </c>
      <c r="AL620" s="107"/>
      <c r="AM620" s="108"/>
      <c r="AN620" s="109"/>
      <c r="AO620" s="108"/>
      <c r="AP620" s="108"/>
      <c r="AQ620" s="108"/>
      <c r="AR620" s="108"/>
      <c r="AS620" s="108"/>
      <c r="AT620" s="108"/>
      <c r="AU620" s="108"/>
      <c r="AV620" s="108"/>
      <c r="AW620" s="108"/>
      <c r="AX620" s="108"/>
      <c r="AY620" s="108"/>
      <c r="AZ620" s="108"/>
      <c r="BA620" s="108"/>
      <c r="BB620" s="108"/>
      <c r="BC620" s="108"/>
      <c r="BD620" s="108"/>
      <c r="BE620" s="108"/>
      <c r="BF620" s="108"/>
      <c r="BG620" s="108"/>
      <c r="BH620" s="108"/>
      <c r="BI620" s="108"/>
      <c r="BJ620" s="108"/>
      <c r="BK620" s="108"/>
      <c r="BL620" s="108"/>
      <c r="BM620" s="108"/>
      <c r="BN620" s="108"/>
      <c r="BO620" s="108"/>
      <c r="BP620" s="108"/>
      <c r="BQ620" s="108"/>
      <c r="BR620" s="108"/>
      <c r="BS620" s="108"/>
      <c r="BT620" s="108"/>
      <c r="BU620" s="108"/>
      <c r="BV620" s="108"/>
      <c r="BW620" s="108"/>
      <c r="BX620" s="108"/>
      <c r="BY620" s="108"/>
      <c r="BZ620" s="108"/>
      <c r="CA620" s="108"/>
      <c r="CB620" s="108"/>
      <c r="CC620" s="108"/>
      <c r="CD620" s="108"/>
      <c r="CE620" s="108"/>
      <c r="CF620" s="108"/>
      <c r="CG620" s="108"/>
      <c r="CH620" s="108"/>
      <c r="CI620" s="108"/>
      <c r="CJ620" s="108"/>
      <c r="CK620" s="108"/>
      <c r="CL620" s="108"/>
      <c r="CM620" s="108"/>
      <c r="CN620" s="110"/>
      <c r="CO620" s="111"/>
      <c r="CP620" s="110"/>
      <c r="CQ620" s="111"/>
      <c r="CR620" s="110"/>
      <c r="CS620" s="111"/>
      <c r="CT620" s="112">
        <f t="shared" si="160"/>
        <v>0</v>
      </c>
      <c r="CU620" s="113"/>
      <c r="CV620" s="114"/>
      <c r="CW620" s="115"/>
      <c r="CX620" s="116"/>
      <c r="CY620" s="117"/>
      <c r="CZ620" s="116"/>
      <c r="DA620" s="113"/>
      <c r="DB620" s="114"/>
      <c r="DC620" s="64"/>
      <c r="DD620" s="118"/>
    </row>
    <row r="621" spans="1:108" ht="72" outlineLevel="2">
      <c r="A621" s="178">
        <v>40500</v>
      </c>
      <c r="B621" s="164" t="s">
        <v>1142</v>
      </c>
      <c r="C621" s="164" t="s">
        <v>1103</v>
      </c>
      <c r="D621" s="166" t="s">
        <v>1262</v>
      </c>
      <c r="E621" s="163"/>
      <c r="F621" s="105"/>
      <c r="G621" s="105"/>
      <c r="H621" s="105">
        <v>10000</v>
      </c>
      <c r="I621" s="105">
        <v>2000</v>
      </c>
      <c r="J621" s="105"/>
      <c r="K621" s="105">
        <v>2000</v>
      </c>
      <c r="L621" s="105"/>
      <c r="M621" s="105"/>
      <c r="N621" s="105"/>
      <c r="O621" s="105"/>
      <c r="P621" s="105"/>
      <c r="Q621" s="105"/>
      <c r="R621" s="105"/>
      <c r="S621" s="105"/>
      <c r="T621" s="106"/>
      <c r="U621" s="130"/>
      <c r="V621" s="1"/>
      <c r="W621" s="68">
        <f t="shared" si="156"/>
        <v>0</v>
      </c>
      <c r="X621" s="68">
        <f t="shared" si="157"/>
        <v>0</v>
      </c>
      <c r="Y621" s="68">
        <f t="shared" si="155"/>
        <v>0</v>
      </c>
      <c r="Z621" s="68">
        <f t="shared" si="158"/>
        <v>0</v>
      </c>
      <c r="AA621" s="68"/>
      <c r="AB621" s="68">
        <v>0</v>
      </c>
      <c r="AC621" s="69">
        <f t="shared" si="159"/>
        <v>0</v>
      </c>
      <c r="AD621" s="70">
        <v>0</v>
      </c>
      <c r="AE621" s="63">
        <v>40504</v>
      </c>
      <c r="AF621" s="72"/>
      <c r="AG621" s="63" t="s">
        <v>938</v>
      </c>
      <c r="AH621" s="23" t="s">
        <v>939</v>
      </c>
      <c r="AI621" s="60"/>
      <c r="AJ621" s="124" t="s">
        <v>1608</v>
      </c>
      <c r="AK621" s="121" t="s">
        <v>673</v>
      </c>
      <c r="AL621" s="107"/>
      <c r="AM621" s="108"/>
      <c r="AN621" s="109"/>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108"/>
      <c r="BZ621" s="108"/>
      <c r="CA621" s="108"/>
      <c r="CB621" s="108"/>
      <c r="CC621" s="108"/>
      <c r="CD621" s="108"/>
      <c r="CE621" s="108"/>
      <c r="CF621" s="108"/>
      <c r="CG621" s="108"/>
      <c r="CH621" s="108"/>
      <c r="CI621" s="108"/>
      <c r="CJ621" s="108"/>
      <c r="CK621" s="108"/>
      <c r="CL621" s="108"/>
      <c r="CM621" s="108"/>
      <c r="CN621" s="110"/>
      <c r="CO621" s="111"/>
      <c r="CP621" s="110"/>
      <c r="CQ621" s="111"/>
      <c r="CR621" s="110"/>
      <c r="CS621" s="111"/>
      <c r="CT621" s="112">
        <f t="shared" si="160"/>
        <v>0</v>
      </c>
      <c r="CU621" s="113"/>
      <c r="CV621" s="114"/>
      <c r="CW621" s="115"/>
      <c r="CX621" s="116"/>
      <c r="CY621" s="117"/>
      <c r="CZ621" s="116"/>
      <c r="DA621" s="113"/>
      <c r="DB621" s="114"/>
      <c r="DC621" s="64"/>
      <c r="DD621" s="118"/>
    </row>
    <row r="622" spans="1:108" ht="24" outlineLevel="2">
      <c r="A622" s="178">
        <v>40505</v>
      </c>
      <c r="B622" s="164" t="s">
        <v>1142</v>
      </c>
      <c r="C622" s="164" t="s">
        <v>1103</v>
      </c>
      <c r="D622" s="166" t="s">
        <v>1262</v>
      </c>
      <c r="E622" s="163">
        <v>1</v>
      </c>
      <c r="F622" s="105"/>
      <c r="G622" s="105"/>
      <c r="H622" s="105"/>
      <c r="I622" s="105"/>
      <c r="J622" s="105"/>
      <c r="K622" s="105"/>
      <c r="L622" s="105"/>
      <c r="M622" s="105"/>
      <c r="N622" s="105"/>
      <c r="O622" s="105"/>
      <c r="P622" s="105"/>
      <c r="Q622" s="105"/>
      <c r="R622" s="105"/>
      <c r="S622" s="105"/>
      <c r="T622" s="106"/>
      <c r="U622" s="130"/>
      <c r="V622" s="1"/>
      <c r="W622" s="68">
        <f t="shared" si="156"/>
        <v>0</v>
      </c>
      <c r="X622" s="68">
        <f t="shared" si="157"/>
        <v>0</v>
      </c>
      <c r="Y622" s="68">
        <f t="shared" si="155"/>
        <v>0</v>
      </c>
      <c r="Z622" s="68">
        <f t="shared" si="158"/>
        <v>0</v>
      </c>
      <c r="AA622" s="68"/>
      <c r="AB622" s="68">
        <v>0</v>
      </c>
      <c r="AC622" s="69">
        <f t="shared" si="159"/>
        <v>0</v>
      </c>
      <c r="AD622" s="70">
        <v>0</v>
      </c>
      <c r="AE622" s="63">
        <v>40506</v>
      </c>
      <c r="AF622" s="72"/>
      <c r="AG622" s="63" t="s">
        <v>938</v>
      </c>
      <c r="AH622" s="23" t="s">
        <v>939</v>
      </c>
      <c r="AI622" s="60"/>
      <c r="AJ622" s="124" t="s">
        <v>1608</v>
      </c>
      <c r="AK622" s="185" t="s">
        <v>603</v>
      </c>
      <c r="AL622" s="123"/>
      <c r="AM622" s="108"/>
      <c r="AN622" s="109"/>
      <c r="AO622" s="108"/>
      <c r="AP622" s="108"/>
      <c r="AQ622" s="108"/>
      <c r="AR622" s="108"/>
      <c r="AS622" s="108"/>
      <c r="AT622" s="108"/>
      <c r="AU622" s="108"/>
      <c r="AV622" s="108"/>
      <c r="AW622" s="108"/>
      <c r="AX622" s="108"/>
      <c r="AY622" s="108"/>
      <c r="AZ622" s="108"/>
      <c r="BA622" s="108"/>
      <c r="BB622" s="108"/>
      <c r="BC622" s="108"/>
      <c r="BD622" s="108"/>
      <c r="BE622" s="108"/>
      <c r="BF622" s="108"/>
      <c r="BG622" s="108"/>
      <c r="BH622" s="108"/>
      <c r="BI622" s="108"/>
      <c r="BJ622" s="108"/>
      <c r="BK622" s="108"/>
      <c r="BL622" s="108"/>
      <c r="BM622" s="108"/>
      <c r="BN622" s="108"/>
      <c r="BO622" s="108"/>
      <c r="BP622" s="108"/>
      <c r="BQ622" s="108"/>
      <c r="BR622" s="108"/>
      <c r="BS622" s="108"/>
      <c r="BT622" s="108"/>
      <c r="BU622" s="108"/>
      <c r="BV622" s="108"/>
      <c r="BW622" s="108"/>
      <c r="BX622" s="108"/>
      <c r="BY622" s="108"/>
      <c r="BZ622" s="108"/>
      <c r="CA622" s="108"/>
      <c r="CB622" s="108"/>
      <c r="CC622" s="108"/>
      <c r="CD622" s="108"/>
      <c r="CE622" s="108"/>
      <c r="CF622" s="108"/>
      <c r="CG622" s="108"/>
      <c r="CH622" s="108"/>
      <c r="CI622" s="108"/>
      <c r="CJ622" s="108"/>
      <c r="CK622" s="108"/>
      <c r="CL622" s="108"/>
      <c r="CM622" s="108"/>
      <c r="CN622" s="110"/>
      <c r="CO622" s="111"/>
      <c r="CP622" s="110"/>
      <c r="CQ622" s="111"/>
      <c r="CR622" s="110"/>
      <c r="CS622" s="111"/>
      <c r="CT622" s="112">
        <f t="shared" si="160"/>
        <v>0</v>
      </c>
      <c r="CU622" s="113"/>
      <c r="CV622" s="114"/>
      <c r="CW622" s="115"/>
      <c r="CX622" s="116"/>
      <c r="CY622" s="117"/>
      <c r="CZ622" s="116"/>
      <c r="DA622" s="113"/>
      <c r="DB622" s="114"/>
      <c r="DC622" s="64"/>
      <c r="DD622" s="118"/>
    </row>
    <row r="623" spans="1:108" ht="24" outlineLevel="2">
      <c r="A623" s="178">
        <v>40515</v>
      </c>
      <c r="B623" s="164" t="s">
        <v>1142</v>
      </c>
      <c r="C623" s="164" t="s">
        <v>807</v>
      </c>
      <c r="D623" s="166" t="s">
        <v>1262</v>
      </c>
      <c r="E623" s="163"/>
      <c r="F623" s="105"/>
      <c r="G623" s="105"/>
      <c r="H623" s="105">
        <v>110</v>
      </c>
      <c r="I623" s="105">
        <v>22</v>
      </c>
      <c r="J623" s="105"/>
      <c r="K623" s="105">
        <v>22</v>
      </c>
      <c r="L623" s="105"/>
      <c r="M623" s="105"/>
      <c r="N623" s="105"/>
      <c r="O623" s="105"/>
      <c r="P623" s="105"/>
      <c r="Q623" s="105"/>
      <c r="R623" s="105"/>
      <c r="S623" s="105"/>
      <c r="T623" s="106"/>
      <c r="U623" s="130"/>
      <c r="V623" s="1"/>
      <c r="W623" s="68">
        <f t="shared" si="156"/>
        <v>0</v>
      </c>
      <c r="X623" s="68">
        <f t="shared" si="157"/>
        <v>0</v>
      </c>
      <c r="Y623" s="68">
        <f t="shared" si="155"/>
        <v>0</v>
      </c>
      <c r="Z623" s="68">
        <f t="shared" si="158"/>
        <v>0</v>
      </c>
      <c r="AA623" s="68"/>
      <c r="AB623" s="68">
        <v>0</v>
      </c>
      <c r="AC623" s="69">
        <f t="shared" si="159"/>
        <v>0</v>
      </c>
      <c r="AD623" s="70">
        <v>0</v>
      </c>
      <c r="AE623" s="63"/>
      <c r="AF623" s="72"/>
      <c r="AG623" s="63"/>
      <c r="AH623" s="23"/>
      <c r="AI623" s="60"/>
      <c r="AJ623" s="124"/>
      <c r="AK623" s="121" t="s">
        <v>2200</v>
      </c>
      <c r="AL623" s="107"/>
      <c r="AM623" s="108"/>
      <c r="AN623" s="109"/>
      <c r="AO623" s="108"/>
      <c r="AP623" s="108"/>
      <c r="AQ623" s="108"/>
      <c r="AR623" s="108"/>
      <c r="AS623" s="108"/>
      <c r="AT623" s="108"/>
      <c r="AU623" s="108"/>
      <c r="AV623" s="108"/>
      <c r="AW623" s="108"/>
      <c r="AX623" s="108"/>
      <c r="AY623" s="108"/>
      <c r="AZ623" s="108"/>
      <c r="BA623" s="108"/>
      <c r="BB623" s="108"/>
      <c r="BC623" s="108"/>
      <c r="BD623" s="108"/>
      <c r="BE623" s="108"/>
      <c r="BF623" s="108"/>
      <c r="BG623" s="108"/>
      <c r="BH623" s="108"/>
      <c r="BI623" s="108"/>
      <c r="BJ623" s="108"/>
      <c r="BK623" s="108"/>
      <c r="BL623" s="108"/>
      <c r="BM623" s="108"/>
      <c r="BN623" s="108"/>
      <c r="BO623" s="108"/>
      <c r="BP623" s="108"/>
      <c r="BQ623" s="108"/>
      <c r="BR623" s="108"/>
      <c r="BS623" s="108"/>
      <c r="BT623" s="108"/>
      <c r="BU623" s="108"/>
      <c r="BV623" s="108"/>
      <c r="BW623" s="108"/>
      <c r="BX623" s="108"/>
      <c r="BY623" s="108"/>
      <c r="BZ623" s="108"/>
      <c r="CA623" s="108"/>
      <c r="CB623" s="108"/>
      <c r="CC623" s="108"/>
      <c r="CD623" s="108"/>
      <c r="CE623" s="108"/>
      <c r="CF623" s="108"/>
      <c r="CG623" s="108"/>
      <c r="CH623" s="108"/>
      <c r="CI623" s="108"/>
      <c r="CJ623" s="108"/>
      <c r="CK623" s="108"/>
      <c r="CL623" s="108"/>
      <c r="CM623" s="108"/>
      <c r="CN623" s="110"/>
      <c r="CO623" s="111"/>
      <c r="CP623" s="110"/>
      <c r="CQ623" s="111"/>
      <c r="CR623" s="110"/>
      <c r="CS623" s="111"/>
      <c r="CT623" s="112">
        <f t="shared" si="160"/>
        <v>0</v>
      </c>
      <c r="CU623" s="113"/>
      <c r="CV623" s="114"/>
      <c r="CW623" s="115"/>
      <c r="CX623" s="116"/>
      <c r="CY623" s="117"/>
      <c r="CZ623" s="116"/>
      <c r="DA623" s="113"/>
      <c r="DB623" s="114"/>
      <c r="DC623" s="64"/>
      <c r="DD623" s="118"/>
    </row>
    <row r="624" spans="1:108" outlineLevel="1">
      <c r="A624" s="178"/>
      <c r="B624" s="192" t="s">
        <v>2448</v>
      </c>
      <c r="C624" s="164"/>
      <c r="D624" s="166"/>
      <c r="E624" s="163">
        <f t="shared" ref="E624:T624" si="161">SUBTOTAL(9,E562:E623)</f>
        <v>8</v>
      </c>
      <c r="F624" s="105">
        <f t="shared" si="161"/>
        <v>1</v>
      </c>
      <c r="G624" s="105">
        <f t="shared" si="161"/>
        <v>0</v>
      </c>
      <c r="H624" s="105">
        <f t="shared" si="161"/>
        <v>69710</v>
      </c>
      <c r="I624" s="105">
        <f t="shared" si="161"/>
        <v>14750</v>
      </c>
      <c r="J624" s="105">
        <f t="shared" si="161"/>
        <v>3</v>
      </c>
      <c r="K624" s="105">
        <f t="shared" si="161"/>
        <v>13691</v>
      </c>
      <c r="L624" s="105">
        <f t="shared" si="161"/>
        <v>11</v>
      </c>
      <c r="M624" s="105">
        <f t="shared" si="161"/>
        <v>2</v>
      </c>
      <c r="N624" s="105">
        <f t="shared" si="161"/>
        <v>0</v>
      </c>
      <c r="O624" s="105">
        <f t="shared" si="161"/>
        <v>0</v>
      </c>
      <c r="P624" s="105">
        <f t="shared" si="161"/>
        <v>1</v>
      </c>
      <c r="Q624" s="105">
        <f t="shared" si="161"/>
        <v>0</v>
      </c>
      <c r="R624" s="105">
        <f t="shared" si="161"/>
        <v>0</v>
      </c>
      <c r="S624" s="105">
        <f t="shared" si="161"/>
        <v>0</v>
      </c>
      <c r="T624" s="106">
        <f t="shared" si="161"/>
        <v>876</v>
      </c>
      <c r="U624" s="130"/>
      <c r="V624" s="1"/>
      <c r="W624" s="68">
        <f t="shared" ref="W624:AD624" si="162">SUBTOTAL(9,W562:W623)</f>
        <v>415157520</v>
      </c>
      <c r="X624" s="68">
        <f t="shared" si="162"/>
        <v>525045000</v>
      </c>
      <c r="Y624" s="68">
        <f t="shared" si="162"/>
        <v>43114856.799999997</v>
      </c>
      <c r="Z624" s="68">
        <f t="shared" si="162"/>
        <v>90016000</v>
      </c>
      <c r="AA624" s="68">
        <f t="shared" si="162"/>
        <v>20880000</v>
      </c>
      <c r="AB624" s="68">
        <f t="shared" si="162"/>
        <v>100000000</v>
      </c>
      <c r="AC624" s="69">
        <f t="shared" si="162"/>
        <v>1194213376.8</v>
      </c>
      <c r="AD624" s="70">
        <f t="shared" si="162"/>
        <v>262730480</v>
      </c>
      <c r="AE624" s="63"/>
      <c r="AF624" s="72"/>
      <c r="AG624" s="63"/>
      <c r="AH624" s="23"/>
      <c r="AI624" s="60"/>
      <c r="AJ624" s="124"/>
      <c r="AK624" s="121"/>
      <c r="AL624" s="107"/>
      <c r="AM624" s="108"/>
      <c r="AN624" s="109"/>
      <c r="AO624" s="108"/>
      <c r="AP624" s="108"/>
      <c r="AQ624" s="108"/>
      <c r="AR624" s="108"/>
      <c r="AS624" s="108"/>
      <c r="AT624" s="108"/>
      <c r="AU624" s="108"/>
      <c r="AV624" s="108"/>
      <c r="AW624" s="108"/>
      <c r="AX624" s="108"/>
      <c r="AY624" s="108"/>
      <c r="AZ624" s="108"/>
      <c r="BA624" s="108"/>
      <c r="BB624" s="108"/>
      <c r="BC624" s="108"/>
      <c r="BD624" s="108"/>
      <c r="BE624" s="108"/>
      <c r="BF624" s="108"/>
      <c r="BG624" s="108"/>
      <c r="BH624" s="108"/>
      <c r="BI624" s="108"/>
      <c r="BJ624" s="108"/>
      <c r="BK624" s="108"/>
      <c r="BL624" s="108"/>
      <c r="BM624" s="108"/>
      <c r="BN624" s="108"/>
      <c r="BO624" s="108"/>
      <c r="BP624" s="108"/>
      <c r="BQ624" s="108"/>
      <c r="BR624" s="108"/>
      <c r="BS624" s="108"/>
      <c r="BT624" s="108"/>
      <c r="BU624" s="108"/>
      <c r="BV624" s="108"/>
      <c r="BW624" s="108"/>
      <c r="BX624" s="108"/>
      <c r="BY624" s="108"/>
      <c r="BZ624" s="108"/>
      <c r="CA624" s="108"/>
      <c r="CB624" s="108"/>
      <c r="CC624" s="108"/>
      <c r="CD624" s="108"/>
      <c r="CE624" s="108"/>
      <c r="CF624" s="108"/>
      <c r="CG624" s="108"/>
      <c r="CH624" s="108"/>
      <c r="CI624" s="108"/>
      <c r="CJ624" s="108"/>
      <c r="CK624" s="108"/>
      <c r="CL624" s="108"/>
      <c r="CM624" s="108"/>
      <c r="CN624" s="110"/>
      <c r="CO624" s="111"/>
      <c r="CP624" s="110"/>
      <c r="CQ624" s="111"/>
      <c r="CR624" s="110"/>
      <c r="CS624" s="111"/>
      <c r="CT624" s="112"/>
      <c r="CU624" s="113"/>
      <c r="CV624" s="114"/>
      <c r="CW624" s="115"/>
      <c r="CX624" s="116"/>
      <c r="CY624" s="117"/>
      <c r="CZ624" s="116"/>
      <c r="DA624" s="113"/>
      <c r="DB624" s="114"/>
      <c r="DC624" s="64"/>
      <c r="DD624" s="118"/>
    </row>
    <row r="625" spans="1:108" outlineLevel="2">
      <c r="A625" s="178">
        <v>40282</v>
      </c>
      <c r="B625" s="82" t="s">
        <v>580</v>
      </c>
      <c r="C625" s="82" t="s">
        <v>266</v>
      </c>
      <c r="D625" s="165" t="s">
        <v>1182</v>
      </c>
      <c r="E625" s="167"/>
      <c r="F625" s="66">
        <v>3</v>
      </c>
      <c r="G625" s="66"/>
      <c r="H625" s="66"/>
      <c r="I625" s="66"/>
      <c r="J625" s="66"/>
      <c r="K625" s="66"/>
      <c r="L625" s="66"/>
      <c r="M625" s="66"/>
      <c r="N625" s="66"/>
      <c r="O625" s="66"/>
      <c r="P625" s="66"/>
      <c r="Q625" s="66"/>
      <c r="R625" s="66"/>
      <c r="S625" s="66"/>
      <c r="T625" s="67"/>
      <c r="U625" s="151"/>
      <c r="V625" s="1"/>
      <c r="W625" s="68">
        <f t="shared" ref="W625:W656" si="163">CT625</f>
        <v>0</v>
      </c>
      <c r="X625" s="68">
        <f t="shared" ref="X625:X656" si="164">CX625</f>
        <v>0</v>
      </c>
      <c r="Y625" s="68">
        <f t="shared" ref="Y625:Y656" si="165">CZ625+DB625</f>
        <v>0</v>
      </c>
      <c r="Z625" s="68">
        <f t="shared" ref="Z625:Z656" si="166">CV625</f>
        <v>0</v>
      </c>
      <c r="AA625" s="68"/>
      <c r="AB625" s="68">
        <v>0</v>
      </c>
      <c r="AC625" s="69">
        <f t="shared" ref="AC625:AC656" si="167">W625+X625+Y625+Z625+AA625+AB625</f>
        <v>0</v>
      </c>
      <c r="AD625" s="70">
        <v>0</v>
      </c>
      <c r="AE625" s="63">
        <v>40283</v>
      </c>
      <c r="AF625" s="72"/>
      <c r="AG625" s="63" t="s">
        <v>938</v>
      </c>
      <c r="AH625" s="23" t="s">
        <v>939</v>
      </c>
      <c r="AI625" s="60"/>
      <c r="AJ625" s="133" t="s">
        <v>1608</v>
      </c>
      <c r="AK625" s="73" t="s">
        <v>267</v>
      </c>
      <c r="AL625" s="3"/>
      <c r="AM625" s="4"/>
      <c r="AN625" s="5"/>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6"/>
      <c r="CO625" s="7"/>
      <c r="CP625" s="6"/>
      <c r="CQ625" s="7"/>
      <c r="CR625" s="6"/>
      <c r="CS625" s="7"/>
      <c r="CT625" s="8">
        <f t="shared" ref="CT625:CT656" si="168">AM625+AO625+AQ625+AS625+AU625+AW625+AY625+BA625+BC625+BE625+BG625+BI625+BK625+BM625+BO625+BQ625+BS625+BU625+BW625+BY625+CA625+CC625+CE625+CG625+CI625+CK625+CM625+CO625+CQ625+CS625</f>
        <v>0</v>
      </c>
      <c r="CU625" s="9"/>
      <c r="CV625" s="10"/>
      <c r="CW625" s="11"/>
      <c r="CX625" s="12"/>
      <c r="CY625" s="26"/>
      <c r="CZ625" s="12"/>
      <c r="DA625" s="9"/>
      <c r="DB625" s="10"/>
      <c r="DC625" s="64"/>
    </row>
    <row r="626" spans="1:108" ht="45" outlineLevel="2">
      <c r="A626" s="178">
        <v>40288</v>
      </c>
      <c r="B626" s="82" t="s">
        <v>580</v>
      </c>
      <c r="C626" s="82" t="s">
        <v>1655</v>
      </c>
      <c r="D626" s="165" t="s">
        <v>1262</v>
      </c>
      <c r="E626" s="167"/>
      <c r="F626" s="66"/>
      <c r="G626" s="66"/>
      <c r="H626" s="66">
        <f>95*5</f>
        <v>475</v>
      </c>
      <c r="I626" s="66">
        <v>95</v>
      </c>
      <c r="J626" s="66"/>
      <c r="K626" s="66">
        <v>95</v>
      </c>
      <c r="L626" s="66"/>
      <c r="M626" s="66"/>
      <c r="N626" s="66"/>
      <c r="O626" s="66"/>
      <c r="P626" s="66"/>
      <c r="Q626" s="66"/>
      <c r="R626" s="66"/>
      <c r="S626" s="66"/>
      <c r="T626" s="67"/>
      <c r="U626" s="151"/>
      <c r="V626" s="1">
        <v>40374</v>
      </c>
      <c r="W626" s="68">
        <f t="shared" si="163"/>
        <v>16461030</v>
      </c>
      <c r="X626" s="68">
        <f t="shared" si="164"/>
        <v>16530000</v>
      </c>
      <c r="Y626" s="68">
        <f t="shared" si="165"/>
        <v>22800000</v>
      </c>
      <c r="Z626" s="68">
        <f t="shared" si="166"/>
        <v>0</v>
      </c>
      <c r="AA626" s="68">
        <v>69908800</v>
      </c>
      <c r="AB626" s="68">
        <v>0</v>
      </c>
      <c r="AC626" s="69">
        <f t="shared" si="167"/>
        <v>125699830</v>
      </c>
      <c r="AD626" s="70">
        <v>0</v>
      </c>
      <c r="AE626" s="63">
        <v>40340</v>
      </c>
      <c r="AF626" s="72">
        <v>98202</v>
      </c>
      <c r="AG626" s="63" t="s">
        <v>954</v>
      </c>
      <c r="AH626" s="23" t="s">
        <v>955</v>
      </c>
      <c r="AI626" s="60">
        <v>204</v>
      </c>
      <c r="AJ626" s="133" t="s">
        <v>415</v>
      </c>
      <c r="AK626" s="81" t="s">
        <v>2261</v>
      </c>
      <c r="AL626" s="3"/>
      <c r="AM626" s="4"/>
      <c r="AN626" s="5"/>
      <c r="AO626" s="4"/>
      <c r="AP626" s="4"/>
      <c r="AQ626" s="4"/>
      <c r="AR626" s="4"/>
      <c r="AS626" s="4"/>
      <c r="AT626" s="4"/>
      <c r="AU626" s="4"/>
      <c r="AV626" s="4"/>
      <c r="AW626" s="4"/>
      <c r="AX626" s="4">
        <v>285</v>
      </c>
      <c r="AY626" s="4">
        <f>285*57758</f>
        <v>16461030</v>
      </c>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6"/>
      <c r="CO626" s="7"/>
      <c r="CP626" s="6"/>
      <c r="CQ626" s="7"/>
      <c r="CR626" s="6"/>
      <c r="CS626" s="7"/>
      <c r="CT626" s="8">
        <f t="shared" si="168"/>
        <v>16461030</v>
      </c>
      <c r="CU626" s="9"/>
      <c r="CV626" s="10"/>
      <c r="CW626" s="11">
        <v>190</v>
      </c>
      <c r="CX626" s="12">
        <f>190*87000</f>
        <v>16530000</v>
      </c>
      <c r="CY626" s="26"/>
      <c r="CZ626" s="12"/>
      <c r="DA626" s="9">
        <v>1000</v>
      </c>
      <c r="DB626" s="10">
        <f>1000*22800</f>
        <v>22800000</v>
      </c>
      <c r="DC626" s="64"/>
    </row>
    <row r="627" spans="1:108" ht="96" outlineLevel="2">
      <c r="A627" s="178">
        <v>40299</v>
      </c>
      <c r="B627" s="82" t="s">
        <v>580</v>
      </c>
      <c r="C627" s="82" t="s">
        <v>581</v>
      </c>
      <c r="D627" s="165" t="s">
        <v>1876</v>
      </c>
      <c r="E627" s="167"/>
      <c r="F627" s="66"/>
      <c r="G627" s="66"/>
      <c r="H627" s="66"/>
      <c r="I627" s="66"/>
      <c r="J627" s="66"/>
      <c r="K627" s="66"/>
      <c r="L627" s="66"/>
      <c r="M627" s="66"/>
      <c r="N627" s="66"/>
      <c r="O627" s="66">
        <v>1</v>
      </c>
      <c r="P627" s="66"/>
      <c r="Q627" s="66"/>
      <c r="R627" s="66"/>
      <c r="S627" s="66"/>
      <c r="T627" s="67"/>
      <c r="U627" s="151"/>
      <c r="V627" s="1">
        <v>40480</v>
      </c>
      <c r="W627" s="68">
        <f t="shared" si="163"/>
        <v>0</v>
      </c>
      <c r="X627" s="68">
        <f t="shared" si="164"/>
        <v>0</v>
      </c>
      <c r="Y627" s="68">
        <f t="shared" si="165"/>
        <v>0</v>
      </c>
      <c r="Z627" s="68">
        <f t="shared" si="166"/>
        <v>0</v>
      </c>
      <c r="AA627" s="68"/>
      <c r="AB627" s="68">
        <v>35000000</v>
      </c>
      <c r="AC627" s="69">
        <f t="shared" si="167"/>
        <v>35000000</v>
      </c>
      <c r="AD627" s="70">
        <v>0</v>
      </c>
      <c r="AE627" s="63">
        <v>40338</v>
      </c>
      <c r="AF627" s="72">
        <v>98143</v>
      </c>
      <c r="AG627" s="63" t="s">
        <v>954</v>
      </c>
      <c r="AH627" s="23" t="s">
        <v>955</v>
      </c>
      <c r="AI627" s="60">
        <v>40495</v>
      </c>
      <c r="AJ627" s="133" t="s">
        <v>415</v>
      </c>
      <c r="AK627" s="81" t="s">
        <v>991</v>
      </c>
      <c r="AL627" s="3"/>
      <c r="AM627" s="4"/>
      <c r="AN627" s="5"/>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6"/>
      <c r="CO627" s="7"/>
      <c r="CP627" s="6"/>
      <c r="CQ627" s="7"/>
      <c r="CR627" s="6"/>
      <c r="CS627" s="7"/>
      <c r="CT627" s="8">
        <f t="shared" si="168"/>
        <v>0</v>
      </c>
      <c r="CU627" s="9"/>
      <c r="CV627" s="10"/>
      <c r="CW627" s="11"/>
      <c r="CX627" s="12"/>
      <c r="CY627" s="26"/>
      <c r="CZ627" s="12"/>
      <c r="DA627" s="9"/>
      <c r="DB627" s="10"/>
      <c r="DC627" s="64" t="s">
        <v>989</v>
      </c>
    </row>
    <row r="628" spans="1:108" ht="48" outlineLevel="2">
      <c r="A628" s="178">
        <v>40299</v>
      </c>
      <c r="B628" s="174" t="s">
        <v>580</v>
      </c>
      <c r="C628" s="174" t="s">
        <v>1653</v>
      </c>
      <c r="D628" s="179" t="s">
        <v>1262</v>
      </c>
      <c r="E628" s="163"/>
      <c r="F628" s="105"/>
      <c r="G628" s="105"/>
      <c r="H628" s="105"/>
      <c r="I628" s="105"/>
      <c r="J628" s="105"/>
      <c r="K628" s="105"/>
      <c r="L628" s="105"/>
      <c r="M628" s="105"/>
      <c r="N628" s="105"/>
      <c r="O628" s="105"/>
      <c r="P628" s="105"/>
      <c r="Q628" s="105"/>
      <c r="R628" s="105"/>
      <c r="S628" s="105"/>
      <c r="T628" s="106"/>
      <c r="U628" s="130"/>
      <c r="V628" s="1">
        <v>40417</v>
      </c>
      <c r="W628" s="68">
        <f t="shared" si="163"/>
        <v>0</v>
      </c>
      <c r="X628" s="68">
        <f t="shared" si="164"/>
        <v>0</v>
      </c>
      <c r="Y628" s="68">
        <f t="shared" si="165"/>
        <v>0</v>
      </c>
      <c r="Z628" s="68">
        <f t="shared" si="166"/>
        <v>0</v>
      </c>
      <c r="AA628" s="68"/>
      <c r="AB628" s="68">
        <v>57500000</v>
      </c>
      <c r="AC628" s="69">
        <f t="shared" si="167"/>
        <v>57500000</v>
      </c>
      <c r="AD628" s="70">
        <v>0</v>
      </c>
      <c r="AE628" s="63">
        <v>40338</v>
      </c>
      <c r="AF628" s="79" t="s">
        <v>2260</v>
      </c>
      <c r="AG628" s="63" t="s">
        <v>954</v>
      </c>
      <c r="AH628" s="23" t="s">
        <v>955</v>
      </c>
      <c r="AI628" s="60"/>
      <c r="AJ628" s="124" t="s">
        <v>415</v>
      </c>
      <c r="AK628" s="125" t="s">
        <v>2272</v>
      </c>
      <c r="AL628" s="107"/>
      <c r="AM628" s="108"/>
      <c r="AN628" s="109"/>
      <c r="AO628" s="108"/>
      <c r="AP628" s="108"/>
      <c r="AQ628" s="108"/>
      <c r="AR628" s="108"/>
      <c r="AS628" s="108"/>
      <c r="AT628" s="108"/>
      <c r="AU628" s="108"/>
      <c r="AV628" s="108"/>
      <c r="AW628" s="108"/>
      <c r="AX628" s="108"/>
      <c r="AY628" s="108"/>
      <c r="AZ628" s="108"/>
      <c r="BA628" s="108"/>
      <c r="BB628" s="108"/>
      <c r="BC628" s="108"/>
      <c r="BD628" s="108"/>
      <c r="BE628" s="108"/>
      <c r="BF628" s="108"/>
      <c r="BG628" s="108"/>
      <c r="BH628" s="108"/>
      <c r="BI628" s="108"/>
      <c r="BJ628" s="108"/>
      <c r="BK628" s="108"/>
      <c r="BL628" s="108"/>
      <c r="BM628" s="108"/>
      <c r="BN628" s="108"/>
      <c r="BO628" s="108"/>
      <c r="BP628" s="108"/>
      <c r="BQ628" s="108"/>
      <c r="BR628" s="108"/>
      <c r="BS628" s="108"/>
      <c r="BT628" s="108"/>
      <c r="BU628" s="108"/>
      <c r="BV628" s="108"/>
      <c r="BW628" s="108"/>
      <c r="BX628" s="108"/>
      <c r="BY628" s="108"/>
      <c r="BZ628" s="108"/>
      <c r="CA628" s="108"/>
      <c r="CB628" s="108"/>
      <c r="CC628" s="108"/>
      <c r="CD628" s="108"/>
      <c r="CE628" s="108"/>
      <c r="CF628" s="108"/>
      <c r="CG628" s="108"/>
      <c r="CH628" s="108"/>
      <c r="CI628" s="108"/>
      <c r="CJ628" s="108"/>
      <c r="CK628" s="108"/>
      <c r="CL628" s="108"/>
      <c r="CM628" s="108"/>
      <c r="CN628" s="110"/>
      <c r="CO628" s="111"/>
      <c r="CP628" s="110"/>
      <c r="CQ628" s="111"/>
      <c r="CR628" s="110"/>
      <c r="CS628" s="111"/>
      <c r="CT628" s="112">
        <f t="shared" si="168"/>
        <v>0</v>
      </c>
      <c r="CU628" s="113"/>
      <c r="CV628" s="114"/>
      <c r="CW628" s="115"/>
      <c r="CX628" s="116"/>
      <c r="CY628" s="117"/>
      <c r="CZ628" s="116"/>
      <c r="DA628" s="113"/>
      <c r="DB628" s="114"/>
      <c r="DC628" s="64">
        <v>2</v>
      </c>
      <c r="DD628" s="118"/>
    </row>
    <row r="629" spans="1:108" ht="48" outlineLevel="2">
      <c r="A629" s="178">
        <v>40303</v>
      </c>
      <c r="B629" s="82" t="s">
        <v>580</v>
      </c>
      <c r="C629" s="82" t="s">
        <v>1654</v>
      </c>
      <c r="D629" s="165" t="s">
        <v>1262</v>
      </c>
      <c r="E629" s="167"/>
      <c r="F629" s="66"/>
      <c r="G629" s="66"/>
      <c r="H629" s="66">
        <v>1943</v>
      </c>
      <c r="I629" s="66">
        <v>281</v>
      </c>
      <c r="J629" s="66"/>
      <c r="K629" s="66">
        <v>281</v>
      </c>
      <c r="L629" s="66"/>
      <c r="M629" s="66"/>
      <c r="N629" s="66"/>
      <c r="O629" s="66"/>
      <c r="P629" s="66"/>
      <c r="Q629" s="66"/>
      <c r="R629" s="66"/>
      <c r="S629" s="66"/>
      <c r="T629" s="67"/>
      <c r="U629" s="151"/>
      <c r="V629" s="1">
        <v>40417</v>
      </c>
      <c r="W629" s="68">
        <f t="shared" si="163"/>
        <v>0</v>
      </c>
      <c r="X629" s="68">
        <f t="shared" si="164"/>
        <v>0</v>
      </c>
      <c r="Y629" s="68">
        <f t="shared" si="165"/>
        <v>0</v>
      </c>
      <c r="Z629" s="68">
        <f t="shared" si="166"/>
        <v>0</v>
      </c>
      <c r="AA629" s="68"/>
      <c r="AB629" s="68">
        <v>60050000</v>
      </c>
      <c r="AC629" s="69">
        <f t="shared" si="167"/>
        <v>60050000</v>
      </c>
      <c r="AD629" s="70">
        <v>0</v>
      </c>
      <c r="AE629" s="63">
        <v>40338</v>
      </c>
      <c r="AF629" s="72">
        <v>98121</v>
      </c>
      <c r="AG629" s="63" t="s">
        <v>954</v>
      </c>
      <c r="AH629" s="23" t="s">
        <v>955</v>
      </c>
      <c r="AI629" s="60"/>
      <c r="AJ629" s="133" t="s">
        <v>415</v>
      </c>
      <c r="AK629" s="81" t="s">
        <v>2248</v>
      </c>
      <c r="AL629" s="3"/>
      <c r="AM629" s="4"/>
      <c r="AN629" s="5"/>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6"/>
      <c r="CO629" s="7"/>
      <c r="CP629" s="6"/>
      <c r="CQ629" s="7"/>
      <c r="CR629" s="6"/>
      <c r="CS629" s="7"/>
      <c r="CT629" s="8">
        <f t="shared" si="168"/>
        <v>0</v>
      </c>
      <c r="CU629" s="9"/>
      <c r="CV629" s="10"/>
      <c r="CW629" s="11"/>
      <c r="CX629" s="12"/>
      <c r="CY629" s="26"/>
      <c r="CZ629" s="12"/>
      <c r="DA629" s="9"/>
      <c r="DB629" s="10"/>
      <c r="DC629" s="64">
        <v>2</v>
      </c>
    </row>
    <row r="630" spans="1:108" ht="67.5" outlineLevel="2">
      <c r="A630" s="178">
        <v>40323</v>
      </c>
      <c r="B630" s="82" t="s">
        <v>580</v>
      </c>
      <c r="C630" s="82" t="s">
        <v>1652</v>
      </c>
      <c r="D630" s="165" t="s">
        <v>1262</v>
      </c>
      <c r="E630" s="167"/>
      <c r="F630" s="66"/>
      <c r="G630" s="66"/>
      <c r="H630" s="66">
        <f>1015*5</f>
        <v>5075</v>
      </c>
      <c r="I630" s="66">
        <v>1015</v>
      </c>
      <c r="J630" s="66"/>
      <c r="K630" s="66"/>
      <c r="L630" s="66"/>
      <c r="M630" s="66"/>
      <c r="N630" s="66"/>
      <c r="O630" s="66"/>
      <c r="P630" s="66"/>
      <c r="Q630" s="66"/>
      <c r="R630" s="66"/>
      <c r="S630" s="66"/>
      <c r="T630" s="67"/>
      <c r="U630" s="151"/>
      <c r="V630" s="1">
        <v>40374</v>
      </c>
      <c r="W630" s="68">
        <f t="shared" si="163"/>
        <v>0</v>
      </c>
      <c r="X630" s="68">
        <f t="shared" si="164"/>
        <v>87000000</v>
      </c>
      <c r="Y630" s="68">
        <f t="shared" si="165"/>
        <v>0</v>
      </c>
      <c r="Z630" s="68">
        <f t="shared" si="166"/>
        <v>0</v>
      </c>
      <c r="AA630" s="68"/>
      <c r="AB630" s="68">
        <v>65000000</v>
      </c>
      <c r="AC630" s="69">
        <f t="shared" si="167"/>
        <v>152000000</v>
      </c>
      <c r="AD630" s="70">
        <v>0</v>
      </c>
      <c r="AE630" s="63">
        <v>40330</v>
      </c>
      <c r="AF630" s="72">
        <v>97967</v>
      </c>
      <c r="AG630" s="63" t="s">
        <v>954</v>
      </c>
      <c r="AH630" s="23" t="s">
        <v>955</v>
      </c>
      <c r="AI630" s="75" t="s">
        <v>1447</v>
      </c>
      <c r="AJ630" s="133" t="s">
        <v>1545</v>
      </c>
      <c r="AK630" s="78" t="s">
        <v>1448</v>
      </c>
      <c r="AL630" s="3"/>
      <c r="AM630" s="4"/>
      <c r="AN630" s="5"/>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6"/>
      <c r="CO630" s="7"/>
      <c r="CP630" s="6"/>
      <c r="CQ630" s="7"/>
      <c r="CR630" s="6"/>
      <c r="CS630" s="7"/>
      <c r="CT630" s="8">
        <f t="shared" si="168"/>
        <v>0</v>
      </c>
      <c r="CU630" s="9"/>
      <c r="CV630" s="10"/>
      <c r="CW630" s="11">
        <v>1000</v>
      </c>
      <c r="CX630" s="12">
        <f>1000*87000</f>
        <v>87000000</v>
      </c>
      <c r="CY630" s="26"/>
      <c r="CZ630" s="12"/>
      <c r="DA630" s="9"/>
      <c r="DB630" s="10"/>
      <c r="DC630" s="64">
        <v>4</v>
      </c>
    </row>
    <row r="631" spans="1:108" ht="60" outlineLevel="2">
      <c r="A631" s="178">
        <v>40331</v>
      </c>
      <c r="B631" s="82" t="s">
        <v>580</v>
      </c>
      <c r="C631" s="82" t="s">
        <v>616</v>
      </c>
      <c r="D631" s="165" t="s">
        <v>1262</v>
      </c>
      <c r="E631" s="167"/>
      <c r="F631" s="66"/>
      <c r="G631" s="66"/>
      <c r="H631" s="66">
        <v>1388</v>
      </c>
      <c r="I631" s="66">
        <v>219</v>
      </c>
      <c r="J631" s="66"/>
      <c r="K631" s="66"/>
      <c r="L631" s="66"/>
      <c r="M631" s="66"/>
      <c r="N631" s="66"/>
      <c r="O631" s="66"/>
      <c r="P631" s="66"/>
      <c r="Q631" s="66"/>
      <c r="R631" s="66"/>
      <c r="S631" s="66"/>
      <c r="T631" s="67"/>
      <c r="U631" s="151" t="s">
        <v>887</v>
      </c>
      <c r="V631" s="1"/>
      <c r="W631" s="68">
        <f t="shared" si="163"/>
        <v>0</v>
      </c>
      <c r="X631" s="68">
        <f t="shared" si="164"/>
        <v>0</v>
      </c>
      <c r="Y631" s="68">
        <f t="shared" si="165"/>
        <v>0</v>
      </c>
      <c r="Z631" s="68">
        <f t="shared" si="166"/>
        <v>0</v>
      </c>
      <c r="AA631" s="68"/>
      <c r="AB631" s="68">
        <v>0</v>
      </c>
      <c r="AC631" s="69">
        <f t="shared" si="167"/>
        <v>0</v>
      </c>
      <c r="AD631" s="70">
        <v>0</v>
      </c>
      <c r="AE631" s="63">
        <v>40332</v>
      </c>
      <c r="AF631" s="72"/>
      <c r="AG631" s="63" t="s">
        <v>938</v>
      </c>
      <c r="AH631" s="23" t="s">
        <v>939</v>
      </c>
      <c r="AI631" s="60"/>
      <c r="AJ631" s="133" t="s">
        <v>1608</v>
      </c>
      <c r="AK631" s="120" t="s">
        <v>2329</v>
      </c>
      <c r="AL631" s="3"/>
      <c r="AM631" s="4"/>
      <c r="AN631" s="5"/>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6"/>
      <c r="CO631" s="7"/>
      <c r="CP631" s="6"/>
      <c r="CQ631" s="7"/>
      <c r="CR631" s="6"/>
      <c r="CS631" s="7"/>
      <c r="CT631" s="8">
        <f t="shared" si="168"/>
        <v>0</v>
      </c>
      <c r="CU631" s="9"/>
      <c r="CV631" s="10"/>
      <c r="CW631" s="11"/>
      <c r="CX631" s="12"/>
      <c r="CY631" s="26"/>
      <c r="CZ631" s="12"/>
      <c r="DA631" s="9"/>
      <c r="DB631" s="10"/>
      <c r="DC631" s="64"/>
    </row>
    <row r="632" spans="1:108" ht="45" outlineLevel="2">
      <c r="A632" s="178">
        <v>40333</v>
      </c>
      <c r="B632" s="82" t="s">
        <v>580</v>
      </c>
      <c r="C632" s="82" t="s">
        <v>1590</v>
      </c>
      <c r="D632" s="165" t="s">
        <v>1876</v>
      </c>
      <c r="E632" s="167"/>
      <c r="F632" s="66"/>
      <c r="G632" s="66"/>
      <c r="H632" s="66">
        <f>241*5</f>
        <v>1205</v>
      </c>
      <c r="I632" s="66">
        <v>241</v>
      </c>
      <c r="J632" s="66"/>
      <c r="K632" s="66">
        <v>241</v>
      </c>
      <c r="L632" s="66"/>
      <c r="M632" s="66"/>
      <c r="N632" s="66"/>
      <c r="O632" s="66"/>
      <c r="P632" s="66"/>
      <c r="Q632" s="66"/>
      <c r="R632" s="66"/>
      <c r="S632" s="66"/>
      <c r="T632" s="67"/>
      <c r="U632" s="151"/>
      <c r="V632" s="1">
        <v>40374</v>
      </c>
      <c r="W632" s="68">
        <f t="shared" si="163"/>
        <v>0</v>
      </c>
      <c r="X632" s="68">
        <f t="shared" si="164"/>
        <v>0</v>
      </c>
      <c r="Y632" s="68">
        <f t="shared" si="165"/>
        <v>17692800</v>
      </c>
      <c r="Z632" s="68">
        <f t="shared" si="166"/>
        <v>0</v>
      </c>
      <c r="AA632" s="68"/>
      <c r="AB632" s="68">
        <v>0</v>
      </c>
      <c r="AC632" s="69">
        <f t="shared" si="167"/>
        <v>17692800</v>
      </c>
      <c r="AD632" s="70">
        <v>0</v>
      </c>
      <c r="AE632" s="63">
        <v>40304</v>
      </c>
      <c r="AF632" s="72">
        <v>97285</v>
      </c>
      <c r="AG632" s="63" t="s">
        <v>954</v>
      </c>
      <c r="AH632" s="23" t="s">
        <v>955</v>
      </c>
      <c r="AI632" s="60">
        <v>204</v>
      </c>
      <c r="AJ632" s="133" t="s">
        <v>415</v>
      </c>
      <c r="AK632" s="73"/>
      <c r="AL632" s="3"/>
      <c r="AM632" s="4"/>
      <c r="AN632" s="5"/>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6"/>
      <c r="CO632" s="7"/>
      <c r="CP632" s="6"/>
      <c r="CQ632" s="7"/>
      <c r="CR632" s="6"/>
      <c r="CS632" s="7"/>
      <c r="CT632" s="8">
        <f t="shared" si="168"/>
        <v>0</v>
      </c>
      <c r="CU632" s="9"/>
      <c r="CV632" s="10"/>
      <c r="CW632" s="11"/>
      <c r="CX632" s="12"/>
      <c r="CY632" s="26"/>
      <c r="CZ632" s="12"/>
      <c r="DA632" s="9">
        <v>776</v>
      </c>
      <c r="DB632" s="10">
        <f>776*22800</f>
        <v>17692800</v>
      </c>
      <c r="DC632" s="64"/>
    </row>
    <row r="633" spans="1:108" ht="24" outlineLevel="2">
      <c r="A633" s="178">
        <v>40333</v>
      </c>
      <c r="B633" s="82" t="s">
        <v>580</v>
      </c>
      <c r="C633" s="82" t="s">
        <v>1218</v>
      </c>
      <c r="D633" s="165" t="s">
        <v>1182</v>
      </c>
      <c r="E633" s="167"/>
      <c r="F633" s="66"/>
      <c r="G633" s="66"/>
      <c r="H633" s="66">
        <v>27</v>
      </c>
      <c r="I633" s="66">
        <v>5</v>
      </c>
      <c r="J633" s="66">
        <v>2</v>
      </c>
      <c r="K633" s="66">
        <v>3</v>
      </c>
      <c r="L633" s="66"/>
      <c r="M633" s="66"/>
      <c r="N633" s="66"/>
      <c r="O633" s="66"/>
      <c r="P633" s="66"/>
      <c r="Q633" s="66"/>
      <c r="R633" s="66"/>
      <c r="S633" s="66"/>
      <c r="T633" s="67"/>
      <c r="U633" s="151"/>
      <c r="V633" s="1"/>
      <c r="W633" s="68">
        <f t="shared" si="163"/>
        <v>0</v>
      </c>
      <c r="X633" s="68">
        <f t="shared" si="164"/>
        <v>0</v>
      </c>
      <c r="Y633" s="68">
        <f t="shared" si="165"/>
        <v>0</v>
      </c>
      <c r="Z633" s="68">
        <f t="shared" si="166"/>
        <v>0</v>
      </c>
      <c r="AA633" s="68"/>
      <c r="AB633" s="68">
        <v>0</v>
      </c>
      <c r="AC633" s="69">
        <f t="shared" si="167"/>
        <v>0</v>
      </c>
      <c r="AD633" s="70">
        <v>0</v>
      </c>
      <c r="AE633" s="63">
        <v>40336</v>
      </c>
      <c r="AF633" s="72"/>
      <c r="AG633" s="63" t="s">
        <v>938</v>
      </c>
      <c r="AH633" s="23" t="s">
        <v>939</v>
      </c>
      <c r="AI633" s="60"/>
      <c r="AJ633" s="133" t="s">
        <v>1608</v>
      </c>
      <c r="AK633" s="73" t="s">
        <v>1670</v>
      </c>
      <c r="AL633" s="3"/>
      <c r="AM633" s="4"/>
      <c r="AN633" s="5"/>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6"/>
      <c r="CO633" s="7"/>
      <c r="CP633" s="6"/>
      <c r="CQ633" s="7"/>
      <c r="CR633" s="6"/>
      <c r="CS633" s="7"/>
      <c r="CT633" s="8">
        <f t="shared" si="168"/>
        <v>0</v>
      </c>
      <c r="CU633" s="9"/>
      <c r="CV633" s="10"/>
      <c r="CW633" s="11"/>
      <c r="CX633" s="12"/>
      <c r="CY633" s="26"/>
      <c r="CZ633" s="12"/>
      <c r="DA633" s="9"/>
      <c r="DB633" s="10"/>
      <c r="DC633" s="64"/>
    </row>
    <row r="634" spans="1:108" outlineLevel="2">
      <c r="A634" s="178">
        <v>40334</v>
      </c>
      <c r="B634" s="82" t="s">
        <v>580</v>
      </c>
      <c r="C634" s="82" t="s">
        <v>1218</v>
      </c>
      <c r="D634" s="165" t="s">
        <v>1182</v>
      </c>
      <c r="E634" s="167"/>
      <c r="F634" s="66"/>
      <c r="G634" s="66"/>
      <c r="H634" s="66">
        <v>10</v>
      </c>
      <c r="I634" s="66">
        <v>1</v>
      </c>
      <c r="J634" s="66"/>
      <c r="K634" s="66">
        <v>1</v>
      </c>
      <c r="L634" s="66"/>
      <c r="M634" s="66"/>
      <c r="N634" s="66"/>
      <c r="O634" s="66"/>
      <c r="P634" s="66"/>
      <c r="Q634" s="66"/>
      <c r="R634" s="66"/>
      <c r="S634" s="66"/>
      <c r="T634" s="67"/>
      <c r="U634" s="151"/>
      <c r="V634" s="1"/>
      <c r="W634" s="68">
        <f t="shared" si="163"/>
        <v>0</v>
      </c>
      <c r="X634" s="68">
        <f t="shared" si="164"/>
        <v>0</v>
      </c>
      <c r="Y634" s="68">
        <f t="shared" si="165"/>
        <v>0</v>
      </c>
      <c r="Z634" s="68">
        <f t="shared" si="166"/>
        <v>0</v>
      </c>
      <c r="AA634" s="68"/>
      <c r="AB634" s="68">
        <v>0</v>
      </c>
      <c r="AC634" s="69">
        <f t="shared" si="167"/>
        <v>0</v>
      </c>
      <c r="AD634" s="70">
        <v>0</v>
      </c>
      <c r="AE634" s="63">
        <v>40336</v>
      </c>
      <c r="AF634" s="72"/>
      <c r="AG634" s="63" t="s">
        <v>938</v>
      </c>
      <c r="AH634" s="23" t="s">
        <v>939</v>
      </c>
      <c r="AI634" s="60"/>
      <c r="AJ634" s="133" t="s">
        <v>1608</v>
      </c>
      <c r="AK634" s="73" t="s">
        <v>1673</v>
      </c>
      <c r="AL634" s="3"/>
      <c r="AM634" s="4"/>
      <c r="AN634" s="5"/>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6"/>
      <c r="CO634" s="7"/>
      <c r="CP634" s="6"/>
      <c r="CQ634" s="7"/>
      <c r="CR634" s="6"/>
      <c r="CS634" s="7"/>
      <c r="CT634" s="8">
        <f t="shared" si="168"/>
        <v>0</v>
      </c>
      <c r="CU634" s="9"/>
      <c r="CV634" s="10"/>
      <c r="CW634" s="11"/>
      <c r="CX634" s="12"/>
      <c r="CY634" s="26"/>
      <c r="CZ634" s="12"/>
      <c r="DA634" s="9"/>
      <c r="DB634" s="10"/>
      <c r="DC634" s="64"/>
    </row>
    <row r="635" spans="1:108" ht="24" outlineLevel="2">
      <c r="A635" s="178">
        <v>40345</v>
      </c>
      <c r="B635" s="82" t="s">
        <v>580</v>
      </c>
      <c r="C635" s="82" t="s">
        <v>1244</v>
      </c>
      <c r="D635" s="165" t="s">
        <v>1182</v>
      </c>
      <c r="E635" s="167"/>
      <c r="F635" s="66">
        <v>1</v>
      </c>
      <c r="G635" s="66"/>
      <c r="H635" s="66"/>
      <c r="I635" s="66"/>
      <c r="J635" s="66"/>
      <c r="K635" s="66"/>
      <c r="L635" s="66"/>
      <c r="M635" s="66"/>
      <c r="N635" s="66"/>
      <c r="O635" s="66"/>
      <c r="P635" s="66"/>
      <c r="Q635" s="66"/>
      <c r="R635" s="66"/>
      <c r="S635" s="66"/>
      <c r="T635" s="67"/>
      <c r="U635" s="151"/>
      <c r="V635" s="1"/>
      <c r="W635" s="68">
        <f t="shared" si="163"/>
        <v>0</v>
      </c>
      <c r="X635" s="68">
        <f t="shared" si="164"/>
        <v>0</v>
      </c>
      <c r="Y635" s="68">
        <f t="shared" si="165"/>
        <v>0</v>
      </c>
      <c r="Z635" s="68">
        <f t="shared" si="166"/>
        <v>0</v>
      </c>
      <c r="AA635" s="68"/>
      <c r="AB635" s="68">
        <v>0</v>
      </c>
      <c r="AC635" s="69">
        <f t="shared" si="167"/>
        <v>0</v>
      </c>
      <c r="AD635" s="70">
        <v>0</v>
      </c>
      <c r="AE635" s="63">
        <v>40347</v>
      </c>
      <c r="AF635" s="72"/>
      <c r="AG635" s="63" t="s">
        <v>938</v>
      </c>
      <c r="AH635" s="23" t="s">
        <v>939</v>
      </c>
      <c r="AI635" s="60"/>
      <c r="AJ635" s="133" t="s">
        <v>1608</v>
      </c>
      <c r="AK635" s="73" t="s">
        <v>1245</v>
      </c>
      <c r="AL635" s="3"/>
      <c r="AM635" s="4"/>
      <c r="AN635" s="5"/>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6"/>
      <c r="CO635" s="7"/>
      <c r="CP635" s="6"/>
      <c r="CQ635" s="7"/>
      <c r="CR635" s="6"/>
      <c r="CS635" s="7"/>
      <c r="CT635" s="8">
        <f t="shared" si="168"/>
        <v>0</v>
      </c>
      <c r="CU635" s="9"/>
      <c r="CV635" s="10"/>
      <c r="CW635" s="11"/>
      <c r="CX635" s="12"/>
      <c r="CY635" s="26"/>
      <c r="CZ635" s="12"/>
      <c r="DA635" s="9"/>
      <c r="DB635" s="10"/>
      <c r="DC635" s="64"/>
    </row>
    <row r="636" spans="1:108" ht="72" outlineLevel="2">
      <c r="A636" s="178">
        <v>40364</v>
      </c>
      <c r="B636" s="174" t="s">
        <v>580</v>
      </c>
      <c r="C636" s="174" t="s">
        <v>2246</v>
      </c>
      <c r="D636" s="179" t="s">
        <v>1262</v>
      </c>
      <c r="E636" s="163"/>
      <c r="F636" s="105"/>
      <c r="G636" s="105"/>
      <c r="H636" s="105">
        <f>795*5</f>
        <v>3975</v>
      </c>
      <c r="I636" s="105">
        <v>795</v>
      </c>
      <c r="J636" s="105"/>
      <c r="K636" s="105">
        <v>795</v>
      </c>
      <c r="L636" s="105"/>
      <c r="M636" s="105"/>
      <c r="N636" s="105"/>
      <c r="O636" s="105"/>
      <c r="P636" s="105"/>
      <c r="Q636" s="105"/>
      <c r="R636" s="105"/>
      <c r="S636" s="105"/>
      <c r="T636" s="106"/>
      <c r="U636" s="130"/>
      <c r="V636" s="1">
        <v>40417</v>
      </c>
      <c r="W636" s="68">
        <f t="shared" si="163"/>
        <v>0</v>
      </c>
      <c r="X636" s="68">
        <f t="shared" si="164"/>
        <v>63750000</v>
      </c>
      <c r="Y636" s="68">
        <f t="shared" si="165"/>
        <v>0</v>
      </c>
      <c r="Z636" s="68">
        <f t="shared" si="166"/>
        <v>0</v>
      </c>
      <c r="AA636" s="68"/>
      <c r="AB636" s="68">
        <v>55154567</v>
      </c>
      <c r="AC636" s="69">
        <f t="shared" si="167"/>
        <v>118904567</v>
      </c>
      <c r="AD636" s="70">
        <v>0</v>
      </c>
      <c r="AE636" s="63">
        <v>40375</v>
      </c>
      <c r="AF636" s="72">
        <v>35353</v>
      </c>
      <c r="AG636" s="63" t="s">
        <v>954</v>
      </c>
      <c r="AH636" s="23" t="s">
        <v>955</v>
      </c>
      <c r="AI636" s="60">
        <v>22559</v>
      </c>
      <c r="AJ636" s="124" t="s">
        <v>415</v>
      </c>
      <c r="AK636" s="121" t="s">
        <v>2247</v>
      </c>
      <c r="AL636" s="107"/>
      <c r="AM636" s="108"/>
      <c r="AN636" s="109"/>
      <c r="AO636" s="108"/>
      <c r="AP636" s="108"/>
      <c r="AQ636" s="108"/>
      <c r="AR636" s="108"/>
      <c r="AS636" s="108"/>
      <c r="AT636" s="108"/>
      <c r="AU636" s="108"/>
      <c r="AV636" s="108"/>
      <c r="AW636" s="108"/>
      <c r="AX636" s="108"/>
      <c r="AY636" s="108"/>
      <c r="AZ636" s="108"/>
      <c r="BA636" s="108"/>
      <c r="BB636" s="108"/>
      <c r="BC636" s="108"/>
      <c r="BD636" s="108"/>
      <c r="BE636" s="108"/>
      <c r="BF636" s="108"/>
      <c r="BG636" s="108"/>
      <c r="BH636" s="108"/>
      <c r="BI636" s="108"/>
      <c r="BJ636" s="108"/>
      <c r="BK636" s="108"/>
      <c r="BL636" s="108"/>
      <c r="BM636" s="108"/>
      <c r="BN636" s="108"/>
      <c r="BO636" s="108"/>
      <c r="BP636" s="108"/>
      <c r="BQ636" s="108"/>
      <c r="BR636" s="108"/>
      <c r="BS636" s="108"/>
      <c r="BT636" s="108"/>
      <c r="BU636" s="108"/>
      <c r="BV636" s="108"/>
      <c r="BW636" s="108"/>
      <c r="BX636" s="108"/>
      <c r="BY636" s="108"/>
      <c r="BZ636" s="108"/>
      <c r="CA636" s="108"/>
      <c r="CB636" s="108"/>
      <c r="CC636" s="108"/>
      <c r="CD636" s="108"/>
      <c r="CE636" s="108"/>
      <c r="CF636" s="108"/>
      <c r="CG636" s="108"/>
      <c r="CH636" s="108"/>
      <c r="CI636" s="108"/>
      <c r="CJ636" s="108"/>
      <c r="CK636" s="108"/>
      <c r="CL636" s="108"/>
      <c r="CM636" s="108"/>
      <c r="CN636" s="110"/>
      <c r="CO636" s="111"/>
      <c r="CP636" s="110"/>
      <c r="CQ636" s="111"/>
      <c r="CR636" s="110"/>
      <c r="CS636" s="111"/>
      <c r="CT636" s="112">
        <f t="shared" si="168"/>
        <v>0</v>
      </c>
      <c r="CU636" s="113"/>
      <c r="CV636" s="114"/>
      <c r="CW636" s="115">
        <v>750</v>
      </c>
      <c r="CX636" s="116">
        <f>750*85000</f>
        <v>63750000</v>
      </c>
      <c r="CY636" s="117"/>
      <c r="CZ636" s="116"/>
      <c r="DA636" s="113"/>
      <c r="DB636" s="114"/>
      <c r="DC636" s="64">
        <v>2</v>
      </c>
      <c r="DD636" s="118"/>
    </row>
    <row r="637" spans="1:108" ht="22.5" outlineLevel="2">
      <c r="A637" s="178">
        <v>40378</v>
      </c>
      <c r="B637" s="82" t="s">
        <v>580</v>
      </c>
      <c r="C637" s="82" t="s">
        <v>2062</v>
      </c>
      <c r="D637" s="165" t="s">
        <v>1200</v>
      </c>
      <c r="E637" s="167"/>
      <c r="F637" s="66"/>
      <c r="G637" s="66"/>
      <c r="H637" s="66">
        <v>100</v>
      </c>
      <c r="I637" s="66">
        <v>20</v>
      </c>
      <c r="J637" s="66"/>
      <c r="K637" s="66">
        <v>20</v>
      </c>
      <c r="L637" s="66"/>
      <c r="M637" s="66"/>
      <c r="N637" s="66">
        <v>19</v>
      </c>
      <c r="O637" s="66"/>
      <c r="P637" s="66"/>
      <c r="Q637" s="66"/>
      <c r="R637" s="66"/>
      <c r="S637" s="66"/>
      <c r="T637" s="67"/>
      <c r="U637" s="151"/>
      <c r="V637" s="1"/>
      <c r="W637" s="68">
        <f t="shared" si="163"/>
        <v>0</v>
      </c>
      <c r="X637" s="68">
        <f t="shared" si="164"/>
        <v>0</v>
      </c>
      <c r="Y637" s="68">
        <f t="shared" si="165"/>
        <v>0</v>
      </c>
      <c r="Z637" s="68">
        <f t="shared" si="166"/>
        <v>0</v>
      </c>
      <c r="AA637" s="68"/>
      <c r="AB637" s="68">
        <v>0</v>
      </c>
      <c r="AC637" s="69">
        <f t="shared" si="167"/>
        <v>0</v>
      </c>
      <c r="AD637" s="70">
        <v>0</v>
      </c>
      <c r="AE637" s="63">
        <v>40407</v>
      </c>
      <c r="AF637" s="72"/>
      <c r="AG637" s="63" t="s">
        <v>938</v>
      </c>
      <c r="AH637" s="23" t="s">
        <v>939</v>
      </c>
      <c r="AI637" s="60"/>
      <c r="AJ637" s="133" t="s">
        <v>1608</v>
      </c>
      <c r="AK637" s="73" t="s">
        <v>2063</v>
      </c>
      <c r="AL637" s="3"/>
      <c r="AM637" s="4"/>
      <c r="AN637" s="5"/>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6"/>
      <c r="CO637" s="7"/>
      <c r="CP637" s="6"/>
      <c r="CQ637" s="7"/>
      <c r="CR637" s="6"/>
      <c r="CS637" s="7"/>
      <c r="CT637" s="8">
        <f t="shared" si="168"/>
        <v>0</v>
      </c>
      <c r="CU637" s="9"/>
      <c r="CV637" s="10"/>
      <c r="CW637" s="11"/>
      <c r="CX637" s="12"/>
      <c r="CY637" s="26"/>
      <c r="CZ637" s="12"/>
      <c r="DA637" s="9"/>
      <c r="DB637" s="10"/>
      <c r="DC637" s="64"/>
    </row>
    <row r="638" spans="1:108" ht="108" outlineLevel="2">
      <c r="A638" s="178">
        <v>40388</v>
      </c>
      <c r="B638" s="82" t="s">
        <v>580</v>
      </c>
      <c r="C638" s="82" t="s">
        <v>1652</v>
      </c>
      <c r="D638" s="165" t="s">
        <v>1262</v>
      </c>
      <c r="E638" s="167"/>
      <c r="F638" s="66"/>
      <c r="G638" s="66"/>
      <c r="H638" s="66">
        <v>7698</v>
      </c>
      <c r="I638" s="66">
        <v>1350</v>
      </c>
      <c r="J638" s="66">
        <v>15</v>
      </c>
      <c r="K638" s="66">
        <v>424</v>
      </c>
      <c r="L638" s="66"/>
      <c r="M638" s="66"/>
      <c r="N638" s="66"/>
      <c r="O638" s="66"/>
      <c r="P638" s="66"/>
      <c r="Q638" s="66"/>
      <c r="R638" s="66"/>
      <c r="S638" s="66"/>
      <c r="T638" s="67"/>
      <c r="U638" s="151"/>
      <c r="V638" s="1"/>
      <c r="W638" s="68">
        <f t="shared" si="163"/>
        <v>0</v>
      </c>
      <c r="X638" s="68">
        <f t="shared" si="164"/>
        <v>0</v>
      </c>
      <c r="Y638" s="68">
        <f t="shared" si="165"/>
        <v>0</v>
      </c>
      <c r="Z638" s="68">
        <f t="shared" si="166"/>
        <v>0</v>
      </c>
      <c r="AA638" s="68"/>
      <c r="AB638" s="68">
        <v>0</v>
      </c>
      <c r="AC638" s="69">
        <f t="shared" si="167"/>
        <v>0</v>
      </c>
      <c r="AD638" s="70">
        <v>0</v>
      </c>
      <c r="AE638" s="63">
        <v>40388</v>
      </c>
      <c r="AF638" s="72">
        <v>50761</v>
      </c>
      <c r="AG638" s="63" t="s">
        <v>954</v>
      </c>
      <c r="AH638" s="23" t="s">
        <v>1572</v>
      </c>
      <c r="AI638" s="60"/>
      <c r="AJ638" s="133"/>
      <c r="AK638" s="73" t="s">
        <v>1489</v>
      </c>
      <c r="AL638" s="3"/>
      <c r="AM638" s="4"/>
      <c r="AN638" s="5"/>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6"/>
      <c r="CO638" s="7"/>
      <c r="CP638" s="6"/>
      <c r="CQ638" s="7"/>
      <c r="CR638" s="6"/>
      <c r="CS638" s="7"/>
      <c r="CT638" s="8">
        <f t="shared" si="168"/>
        <v>0</v>
      </c>
      <c r="CU638" s="9"/>
      <c r="CV638" s="10"/>
      <c r="CW638" s="11"/>
      <c r="CX638" s="12"/>
      <c r="CY638" s="26"/>
      <c r="CZ638" s="12"/>
      <c r="DA638" s="9"/>
      <c r="DB638" s="10"/>
      <c r="DC638" s="64"/>
    </row>
    <row r="639" spans="1:108" outlineLevel="2">
      <c r="A639" s="178">
        <v>40391</v>
      </c>
      <c r="B639" s="174" t="s">
        <v>580</v>
      </c>
      <c r="C639" s="174" t="s">
        <v>616</v>
      </c>
      <c r="D639" s="179" t="s">
        <v>1262</v>
      </c>
      <c r="E639" s="163"/>
      <c r="F639" s="105"/>
      <c r="G639" s="105"/>
      <c r="H639" s="105">
        <f>15476-1388</f>
        <v>14088</v>
      </c>
      <c r="I639" s="131">
        <f>2813-219</f>
        <v>2594</v>
      </c>
      <c r="J639" s="105"/>
      <c r="K639" s="105"/>
      <c r="L639" s="105"/>
      <c r="M639" s="105"/>
      <c r="N639" s="105"/>
      <c r="O639" s="105"/>
      <c r="P639" s="105"/>
      <c r="Q639" s="105"/>
      <c r="R639" s="105"/>
      <c r="S639" s="105"/>
      <c r="T639" s="106">
        <v>40.25</v>
      </c>
      <c r="U639" s="130" t="s">
        <v>414</v>
      </c>
      <c r="V639" s="1"/>
      <c r="W639" s="68">
        <f t="shared" si="163"/>
        <v>0</v>
      </c>
      <c r="X639" s="68">
        <f t="shared" si="164"/>
        <v>0</v>
      </c>
      <c r="Y639" s="68">
        <f t="shared" si="165"/>
        <v>0</v>
      </c>
      <c r="Z639" s="68">
        <f t="shared" si="166"/>
        <v>0</v>
      </c>
      <c r="AA639" s="68"/>
      <c r="AB639" s="68">
        <v>0</v>
      </c>
      <c r="AC639" s="69">
        <f t="shared" si="167"/>
        <v>0</v>
      </c>
      <c r="AD639" s="70">
        <v>150100000</v>
      </c>
      <c r="AE639" s="63">
        <v>40444</v>
      </c>
      <c r="AF639" s="72">
        <v>50757</v>
      </c>
      <c r="AG639" s="63" t="s">
        <v>954</v>
      </c>
      <c r="AH639" s="23" t="s">
        <v>955</v>
      </c>
      <c r="AI639" s="60"/>
      <c r="AJ639" s="124"/>
      <c r="AK639" s="121"/>
      <c r="AL639" s="107"/>
      <c r="AM639" s="108"/>
      <c r="AN639" s="109"/>
      <c r="AO639" s="108"/>
      <c r="AP639" s="108"/>
      <c r="AQ639" s="108"/>
      <c r="AR639" s="108"/>
      <c r="AS639" s="108"/>
      <c r="AT639" s="108"/>
      <c r="AU639" s="108"/>
      <c r="AV639" s="108"/>
      <c r="AW639" s="108"/>
      <c r="AX639" s="108"/>
      <c r="AY639" s="108"/>
      <c r="AZ639" s="108"/>
      <c r="BA639" s="108"/>
      <c r="BB639" s="108"/>
      <c r="BC639" s="108"/>
      <c r="BD639" s="108"/>
      <c r="BE639" s="108"/>
      <c r="BF639" s="108"/>
      <c r="BG639" s="108"/>
      <c r="BH639" s="108"/>
      <c r="BI639" s="108"/>
      <c r="BJ639" s="108"/>
      <c r="BK639" s="108"/>
      <c r="BL639" s="108"/>
      <c r="BM639" s="108"/>
      <c r="BN639" s="108"/>
      <c r="BO639" s="108"/>
      <c r="BP639" s="108"/>
      <c r="BQ639" s="108"/>
      <c r="BR639" s="108"/>
      <c r="BS639" s="108"/>
      <c r="BT639" s="108"/>
      <c r="BU639" s="108"/>
      <c r="BV639" s="108"/>
      <c r="BW639" s="108"/>
      <c r="BX639" s="108"/>
      <c r="BY639" s="108"/>
      <c r="BZ639" s="108"/>
      <c r="CA639" s="108"/>
      <c r="CB639" s="108"/>
      <c r="CC639" s="108"/>
      <c r="CD639" s="108"/>
      <c r="CE639" s="108"/>
      <c r="CF639" s="108"/>
      <c r="CG639" s="108"/>
      <c r="CH639" s="108"/>
      <c r="CI639" s="108"/>
      <c r="CJ639" s="108"/>
      <c r="CK639" s="108"/>
      <c r="CL639" s="108"/>
      <c r="CM639" s="108"/>
      <c r="CN639" s="110"/>
      <c r="CO639" s="111"/>
      <c r="CP639" s="110"/>
      <c r="CQ639" s="111"/>
      <c r="CR639" s="110"/>
      <c r="CS639" s="111"/>
      <c r="CT639" s="112">
        <f t="shared" si="168"/>
        <v>0</v>
      </c>
      <c r="CU639" s="113"/>
      <c r="CV639" s="114"/>
      <c r="CW639" s="115"/>
      <c r="CX639" s="116"/>
      <c r="CY639" s="117"/>
      <c r="CZ639" s="116"/>
      <c r="DA639" s="113"/>
      <c r="DB639" s="114"/>
      <c r="DC639" s="64"/>
      <c r="DD639" s="118"/>
    </row>
    <row r="640" spans="1:108" ht="24" outlineLevel="2">
      <c r="A640" s="178">
        <v>40397</v>
      </c>
      <c r="B640" s="82" t="s">
        <v>580</v>
      </c>
      <c r="C640" s="82" t="s">
        <v>1218</v>
      </c>
      <c r="D640" s="165" t="s">
        <v>1182</v>
      </c>
      <c r="E640" s="167"/>
      <c r="F640" s="66"/>
      <c r="G640" s="66"/>
      <c r="H640" s="66">
        <v>35</v>
      </c>
      <c r="I640" s="66">
        <v>4</v>
      </c>
      <c r="J640" s="66"/>
      <c r="K640" s="66">
        <v>4</v>
      </c>
      <c r="L640" s="66"/>
      <c r="M640" s="66"/>
      <c r="N640" s="66"/>
      <c r="O640" s="66"/>
      <c r="P640" s="66"/>
      <c r="Q640" s="66"/>
      <c r="R640" s="66"/>
      <c r="S640" s="66"/>
      <c r="T640" s="67"/>
      <c r="U640" s="151"/>
      <c r="V640" s="1"/>
      <c r="W640" s="68">
        <f t="shared" si="163"/>
        <v>0</v>
      </c>
      <c r="X640" s="68">
        <f t="shared" si="164"/>
        <v>0</v>
      </c>
      <c r="Y640" s="68">
        <f t="shared" si="165"/>
        <v>0</v>
      </c>
      <c r="Z640" s="68">
        <f t="shared" si="166"/>
        <v>0</v>
      </c>
      <c r="AA640" s="68"/>
      <c r="AB640" s="68">
        <v>0</v>
      </c>
      <c r="AC640" s="69">
        <f t="shared" si="167"/>
        <v>0</v>
      </c>
      <c r="AD640" s="70">
        <v>0</v>
      </c>
      <c r="AE640" s="63">
        <v>40399</v>
      </c>
      <c r="AF640" s="72"/>
      <c r="AG640" s="63" t="s">
        <v>938</v>
      </c>
      <c r="AH640" s="23" t="s">
        <v>939</v>
      </c>
      <c r="AI640" s="60"/>
      <c r="AJ640" s="133" t="s">
        <v>1608</v>
      </c>
      <c r="AK640" s="73" t="s">
        <v>1504</v>
      </c>
      <c r="AL640" s="3"/>
      <c r="AM640" s="4"/>
      <c r="AN640" s="5"/>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6"/>
      <c r="CO640" s="7"/>
      <c r="CP640" s="6"/>
      <c r="CQ640" s="7"/>
      <c r="CR640" s="6"/>
      <c r="CS640" s="7"/>
      <c r="CT640" s="8">
        <f t="shared" si="168"/>
        <v>0</v>
      </c>
      <c r="CU640" s="9"/>
      <c r="CV640" s="10"/>
      <c r="CW640" s="11"/>
      <c r="CX640" s="12"/>
      <c r="CY640" s="26"/>
      <c r="CZ640" s="12"/>
      <c r="DA640" s="9"/>
      <c r="DB640" s="10"/>
      <c r="DC640" s="64"/>
    </row>
    <row r="641" spans="1:108" ht="36" outlineLevel="2">
      <c r="A641" s="178">
        <v>40402</v>
      </c>
      <c r="B641" s="82" t="s">
        <v>580</v>
      </c>
      <c r="C641" s="82" t="s">
        <v>2056</v>
      </c>
      <c r="D641" s="165" t="s">
        <v>1262</v>
      </c>
      <c r="E641" s="167"/>
      <c r="F641" s="66"/>
      <c r="G641" s="66">
        <v>1</v>
      </c>
      <c r="H641" s="66"/>
      <c r="I641" s="66"/>
      <c r="J641" s="66"/>
      <c r="K641" s="66"/>
      <c r="L641" s="66"/>
      <c r="M641" s="66"/>
      <c r="N641" s="66"/>
      <c r="O641" s="66"/>
      <c r="P641" s="66"/>
      <c r="Q641" s="66"/>
      <c r="R641" s="66"/>
      <c r="S641" s="66"/>
      <c r="T641" s="67"/>
      <c r="U641" s="151"/>
      <c r="V641" s="1"/>
      <c r="W641" s="68">
        <f t="shared" si="163"/>
        <v>0</v>
      </c>
      <c r="X641" s="68">
        <f t="shared" si="164"/>
        <v>0</v>
      </c>
      <c r="Y641" s="68">
        <f t="shared" si="165"/>
        <v>0</v>
      </c>
      <c r="Z641" s="68">
        <f t="shared" si="166"/>
        <v>0</v>
      </c>
      <c r="AA641" s="68"/>
      <c r="AB641" s="68">
        <v>0</v>
      </c>
      <c r="AC641" s="69">
        <f t="shared" si="167"/>
        <v>0</v>
      </c>
      <c r="AD641" s="70">
        <v>0</v>
      </c>
      <c r="AE641" s="63">
        <v>40403</v>
      </c>
      <c r="AF641" s="72"/>
      <c r="AG641" s="63" t="s">
        <v>938</v>
      </c>
      <c r="AH641" s="23" t="s">
        <v>939</v>
      </c>
      <c r="AI641" s="60"/>
      <c r="AJ641" s="133" t="s">
        <v>1608</v>
      </c>
      <c r="AK641" s="73" t="s">
        <v>2057</v>
      </c>
      <c r="AL641" s="3"/>
      <c r="AM641" s="4"/>
      <c r="AN641" s="5"/>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6"/>
      <c r="CO641" s="7"/>
      <c r="CP641" s="6"/>
      <c r="CQ641" s="7"/>
      <c r="CR641" s="6"/>
      <c r="CS641" s="7"/>
      <c r="CT641" s="8">
        <f t="shared" si="168"/>
        <v>0</v>
      </c>
      <c r="CU641" s="9"/>
      <c r="CV641" s="10"/>
      <c r="CW641" s="11"/>
      <c r="CX641" s="12"/>
      <c r="CY641" s="26"/>
      <c r="CZ641" s="12"/>
      <c r="DA641" s="9"/>
      <c r="DB641" s="10"/>
      <c r="DC641" s="64"/>
    </row>
    <row r="642" spans="1:108" ht="24" outlineLevel="2">
      <c r="A642" s="178">
        <v>40403</v>
      </c>
      <c r="B642" s="82" t="s">
        <v>580</v>
      </c>
      <c r="C642" s="82" t="s">
        <v>1218</v>
      </c>
      <c r="D642" s="165" t="s">
        <v>1262</v>
      </c>
      <c r="E642" s="167">
        <v>1</v>
      </c>
      <c r="F642" s="66"/>
      <c r="G642" s="66"/>
      <c r="H642" s="66"/>
      <c r="I642" s="66"/>
      <c r="J642" s="66"/>
      <c r="K642" s="66"/>
      <c r="L642" s="66"/>
      <c r="M642" s="66"/>
      <c r="N642" s="66"/>
      <c r="O642" s="66"/>
      <c r="P642" s="66"/>
      <c r="Q642" s="66"/>
      <c r="R642" s="66"/>
      <c r="S642" s="66"/>
      <c r="T642" s="67"/>
      <c r="U642" s="151"/>
      <c r="V642" s="1"/>
      <c r="W642" s="68">
        <f t="shared" si="163"/>
        <v>0</v>
      </c>
      <c r="X642" s="68">
        <f t="shared" si="164"/>
        <v>0</v>
      </c>
      <c r="Y642" s="68">
        <f t="shared" si="165"/>
        <v>0</v>
      </c>
      <c r="Z642" s="68">
        <f t="shared" si="166"/>
        <v>0</v>
      </c>
      <c r="AA642" s="68"/>
      <c r="AB642" s="68">
        <v>0</v>
      </c>
      <c r="AC642" s="69">
        <f t="shared" si="167"/>
        <v>0</v>
      </c>
      <c r="AD642" s="70">
        <v>0</v>
      </c>
      <c r="AE642" s="63">
        <v>40407</v>
      </c>
      <c r="AF642" s="72"/>
      <c r="AG642" s="63" t="s">
        <v>938</v>
      </c>
      <c r="AH642" s="23" t="s">
        <v>939</v>
      </c>
      <c r="AI642" s="60"/>
      <c r="AJ642" s="133" t="s">
        <v>1608</v>
      </c>
      <c r="AK642" s="73" t="s">
        <v>2068</v>
      </c>
      <c r="AL642" s="3"/>
      <c r="AM642" s="4"/>
      <c r="AN642" s="5"/>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6"/>
      <c r="CO642" s="7"/>
      <c r="CP642" s="6"/>
      <c r="CQ642" s="7"/>
      <c r="CR642" s="6"/>
      <c r="CS642" s="7"/>
      <c r="CT642" s="8">
        <f t="shared" si="168"/>
        <v>0</v>
      </c>
      <c r="CU642" s="9"/>
      <c r="CV642" s="10"/>
      <c r="CW642" s="11"/>
      <c r="CX642" s="12"/>
      <c r="CY642" s="26"/>
      <c r="CZ642" s="12"/>
      <c r="DA642" s="9"/>
      <c r="DB642" s="10"/>
      <c r="DC642" s="64"/>
    </row>
    <row r="643" spans="1:108" ht="24" outlineLevel="2">
      <c r="A643" s="178">
        <v>40412</v>
      </c>
      <c r="B643" s="82" t="s">
        <v>580</v>
      </c>
      <c r="C643" s="82" t="s">
        <v>1218</v>
      </c>
      <c r="D643" s="165" t="s">
        <v>1182</v>
      </c>
      <c r="E643" s="167"/>
      <c r="F643" s="66"/>
      <c r="G643" s="66"/>
      <c r="H643" s="66">
        <v>3</v>
      </c>
      <c r="I643" s="66">
        <v>1</v>
      </c>
      <c r="J643" s="66">
        <v>1</v>
      </c>
      <c r="K643" s="66"/>
      <c r="L643" s="66"/>
      <c r="M643" s="66"/>
      <c r="N643" s="66"/>
      <c r="O643" s="66"/>
      <c r="P643" s="66"/>
      <c r="Q643" s="66"/>
      <c r="R643" s="66"/>
      <c r="S643" s="66"/>
      <c r="T643" s="67"/>
      <c r="U643" s="151"/>
      <c r="V643" s="1"/>
      <c r="W643" s="68">
        <f t="shared" si="163"/>
        <v>0</v>
      </c>
      <c r="X643" s="68">
        <f t="shared" si="164"/>
        <v>0</v>
      </c>
      <c r="Y643" s="68">
        <f t="shared" si="165"/>
        <v>0</v>
      </c>
      <c r="Z643" s="68">
        <f t="shared" si="166"/>
        <v>0</v>
      </c>
      <c r="AA643" s="68"/>
      <c r="AB643" s="68">
        <v>0</v>
      </c>
      <c r="AC643" s="69">
        <f t="shared" si="167"/>
        <v>0</v>
      </c>
      <c r="AD643" s="70">
        <v>0</v>
      </c>
      <c r="AE643" s="63">
        <v>40413</v>
      </c>
      <c r="AF643" s="72"/>
      <c r="AG643" s="63" t="s">
        <v>938</v>
      </c>
      <c r="AH643" s="23" t="s">
        <v>939</v>
      </c>
      <c r="AI643" s="60"/>
      <c r="AJ643" s="133" t="s">
        <v>1608</v>
      </c>
      <c r="AK643" s="73" t="s">
        <v>2106</v>
      </c>
      <c r="AL643" s="3"/>
      <c r="AM643" s="4"/>
      <c r="AN643" s="5"/>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6"/>
      <c r="CO643" s="7"/>
      <c r="CP643" s="6"/>
      <c r="CQ643" s="7"/>
      <c r="CR643" s="6"/>
      <c r="CS643" s="7"/>
      <c r="CT643" s="8">
        <f t="shared" si="168"/>
        <v>0</v>
      </c>
      <c r="CU643" s="9"/>
      <c r="CV643" s="10"/>
      <c r="CW643" s="11"/>
      <c r="CX643" s="12"/>
      <c r="CY643" s="26"/>
      <c r="CZ643" s="12"/>
      <c r="DA643" s="9"/>
      <c r="DB643" s="10"/>
      <c r="DC643" s="64"/>
    </row>
    <row r="644" spans="1:108" ht="48" outlineLevel="2">
      <c r="A644" s="178">
        <v>40427</v>
      </c>
      <c r="B644" s="164" t="s">
        <v>580</v>
      </c>
      <c r="C644" s="164" t="s">
        <v>1244</v>
      </c>
      <c r="D644" s="166" t="s">
        <v>1262</v>
      </c>
      <c r="E644" s="163"/>
      <c r="F644" s="105"/>
      <c r="G644" s="105"/>
      <c r="H644" s="105">
        <v>143</v>
      </c>
      <c r="I644" s="105">
        <v>82</v>
      </c>
      <c r="J644" s="105"/>
      <c r="K644" s="105"/>
      <c r="L644" s="105"/>
      <c r="M644" s="105"/>
      <c r="N644" s="105"/>
      <c r="O644" s="105"/>
      <c r="P644" s="105"/>
      <c r="Q644" s="105"/>
      <c r="R644" s="105"/>
      <c r="S644" s="105"/>
      <c r="T644" s="106"/>
      <c r="U644" s="130"/>
      <c r="V644" s="1"/>
      <c r="W644" s="68">
        <f t="shared" si="163"/>
        <v>0</v>
      </c>
      <c r="X644" s="68">
        <f t="shared" si="164"/>
        <v>0</v>
      </c>
      <c r="Y644" s="68">
        <f t="shared" si="165"/>
        <v>0</v>
      </c>
      <c r="Z644" s="68">
        <f t="shared" si="166"/>
        <v>0</v>
      </c>
      <c r="AA644" s="68"/>
      <c r="AB644" s="68">
        <v>0</v>
      </c>
      <c r="AC644" s="69">
        <f t="shared" si="167"/>
        <v>0</v>
      </c>
      <c r="AD644" s="70">
        <v>0</v>
      </c>
      <c r="AE644" s="63">
        <v>40444</v>
      </c>
      <c r="AF644" s="72">
        <v>50748</v>
      </c>
      <c r="AG644" s="63" t="s">
        <v>954</v>
      </c>
      <c r="AH644" s="23" t="s">
        <v>1572</v>
      </c>
      <c r="AI644" s="60"/>
      <c r="AJ644" s="124"/>
      <c r="AK644" s="121" t="s">
        <v>1344</v>
      </c>
      <c r="AL644" s="107"/>
      <c r="AM644" s="108"/>
      <c r="AN644" s="109"/>
      <c r="AO644" s="108"/>
      <c r="AP644" s="108"/>
      <c r="AQ644" s="108"/>
      <c r="AR644" s="108"/>
      <c r="AS644" s="108"/>
      <c r="AT644" s="108"/>
      <c r="AU644" s="108"/>
      <c r="AV644" s="108"/>
      <c r="AW644" s="108"/>
      <c r="AX644" s="108"/>
      <c r="AY644" s="108"/>
      <c r="AZ644" s="108"/>
      <c r="BA644" s="108"/>
      <c r="BB644" s="108"/>
      <c r="BC644" s="108"/>
      <c r="BD644" s="108"/>
      <c r="BE644" s="108"/>
      <c r="BF644" s="108"/>
      <c r="BG644" s="108"/>
      <c r="BH644" s="108"/>
      <c r="BI644" s="108"/>
      <c r="BJ644" s="108"/>
      <c r="BK644" s="108"/>
      <c r="BL644" s="108"/>
      <c r="BM644" s="108"/>
      <c r="BN644" s="108"/>
      <c r="BO644" s="108"/>
      <c r="BP644" s="108"/>
      <c r="BQ644" s="108"/>
      <c r="BR644" s="108"/>
      <c r="BS644" s="108"/>
      <c r="BT644" s="108"/>
      <c r="BU644" s="108"/>
      <c r="BV644" s="108"/>
      <c r="BW644" s="108"/>
      <c r="BX644" s="108"/>
      <c r="BY644" s="108"/>
      <c r="BZ644" s="108"/>
      <c r="CA644" s="108"/>
      <c r="CB644" s="108"/>
      <c r="CC644" s="108"/>
      <c r="CD644" s="108"/>
      <c r="CE644" s="108"/>
      <c r="CF644" s="108"/>
      <c r="CG644" s="108"/>
      <c r="CH644" s="108"/>
      <c r="CI644" s="108"/>
      <c r="CJ644" s="108"/>
      <c r="CK644" s="108"/>
      <c r="CL644" s="108"/>
      <c r="CM644" s="108"/>
      <c r="CN644" s="110"/>
      <c r="CO644" s="111"/>
      <c r="CP644" s="110"/>
      <c r="CQ644" s="111"/>
      <c r="CR644" s="110"/>
      <c r="CS644" s="111"/>
      <c r="CT644" s="112">
        <f t="shared" si="168"/>
        <v>0</v>
      </c>
      <c r="CU644" s="113"/>
      <c r="CV644" s="114"/>
      <c r="CW644" s="115"/>
      <c r="CX644" s="116"/>
      <c r="CY644" s="117"/>
      <c r="CZ644" s="116"/>
      <c r="DA644" s="113"/>
      <c r="DB644" s="114"/>
      <c r="DC644" s="64"/>
      <c r="DD644" s="118"/>
    </row>
    <row r="645" spans="1:108" ht="24" outlineLevel="2">
      <c r="A645" s="178">
        <v>40434</v>
      </c>
      <c r="B645" s="174" t="s">
        <v>580</v>
      </c>
      <c r="C645" s="174" t="s">
        <v>1654</v>
      </c>
      <c r="D645" s="165" t="s">
        <v>1182</v>
      </c>
      <c r="E645" s="163"/>
      <c r="F645" s="105">
        <v>4</v>
      </c>
      <c r="G645" s="105"/>
      <c r="H645" s="105"/>
      <c r="I645" s="105"/>
      <c r="J645" s="105"/>
      <c r="K645" s="105"/>
      <c r="L645" s="105"/>
      <c r="M645" s="105"/>
      <c r="N645" s="105"/>
      <c r="O645" s="105"/>
      <c r="P645" s="105"/>
      <c r="Q645" s="105"/>
      <c r="R645" s="105"/>
      <c r="S645" s="105"/>
      <c r="T645" s="106"/>
      <c r="U645" s="130"/>
      <c r="V645" s="1"/>
      <c r="W645" s="68">
        <f t="shared" si="163"/>
        <v>0</v>
      </c>
      <c r="X645" s="68">
        <f t="shared" si="164"/>
        <v>0</v>
      </c>
      <c r="Y645" s="68">
        <f t="shared" si="165"/>
        <v>0</v>
      </c>
      <c r="Z645" s="68">
        <f t="shared" si="166"/>
        <v>0</v>
      </c>
      <c r="AA645" s="68"/>
      <c r="AB645" s="68">
        <v>0</v>
      </c>
      <c r="AC645" s="69">
        <f t="shared" si="167"/>
        <v>0</v>
      </c>
      <c r="AD645" s="70">
        <v>0</v>
      </c>
      <c r="AE645" s="63">
        <v>40435</v>
      </c>
      <c r="AF645" s="72"/>
      <c r="AG645" s="63" t="s">
        <v>938</v>
      </c>
      <c r="AH645" s="23" t="s">
        <v>939</v>
      </c>
      <c r="AI645" s="60"/>
      <c r="AJ645" s="124" t="s">
        <v>1608</v>
      </c>
      <c r="AK645" s="121" t="s">
        <v>453</v>
      </c>
      <c r="AL645" s="107"/>
      <c r="AM645" s="108"/>
      <c r="AN645" s="109"/>
      <c r="AO645" s="108"/>
      <c r="AP645" s="108"/>
      <c r="AQ645" s="108"/>
      <c r="AR645" s="108"/>
      <c r="AS645" s="108"/>
      <c r="AT645" s="108"/>
      <c r="AU645" s="108"/>
      <c r="AV645" s="108"/>
      <c r="AW645" s="108"/>
      <c r="AX645" s="108"/>
      <c r="AY645" s="108"/>
      <c r="AZ645" s="108"/>
      <c r="BA645" s="108"/>
      <c r="BB645" s="108"/>
      <c r="BC645" s="108"/>
      <c r="BD645" s="108"/>
      <c r="BE645" s="108"/>
      <c r="BF645" s="108"/>
      <c r="BG645" s="108"/>
      <c r="BH645" s="108"/>
      <c r="BI645" s="108"/>
      <c r="BJ645" s="108"/>
      <c r="BK645" s="108"/>
      <c r="BL645" s="108"/>
      <c r="BM645" s="108"/>
      <c r="BN645" s="108"/>
      <c r="BO645" s="108"/>
      <c r="BP645" s="108"/>
      <c r="BQ645" s="108"/>
      <c r="BR645" s="108"/>
      <c r="BS645" s="108"/>
      <c r="BT645" s="108"/>
      <c r="BU645" s="108"/>
      <c r="BV645" s="108"/>
      <c r="BW645" s="108"/>
      <c r="BX645" s="108"/>
      <c r="BY645" s="108"/>
      <c r="BZ645" s="108"/>
      <c r="CA645" s="108"/>
      <c r="CB645" s="108"/>
      <c r="CC645" s="108"/>
      <c r="CD645" s="108"/>
      <c r="CE645" s="108"/>
      <c r="CF645" s="108"/>
      <c r="CG645" s="108"/>
      <c r="CH645" s="108"/>
      <c r="CI645" s="108"/>
      <c r="CJ645" s="108"/>
      <c r="CK645" s="108"/>
      <c r="CL645" s="108"/>
      <c r="CM645" s="108"/>
      <c r="CN645" s="110"/>
      <c r="CO645" s="111"/>
      <c r="CP645" s="110"/>
      <c r="CQ645" s="111"/>
      <c r="CR645" s="110"/>
      <c r="CS645" s="111"/>
      <c r="CT645" s="112">
        <f t="shared" si="168"/>
        <v>0</v>
      </c>
      <c r="CU645" s="113"/>
      <c r="CV645" s="114"/>
      <c r="CW645" s="115"/>
      <c r="CX645" s="116"/>
      <c r="CY645" s="117"/>
      <c r="CZ645" s="116"/>
      <c r="DA645" s="113"/>
      <c r="DB645" s="114"/>
      <c r="DC645" s="64"/>
      <c r="DD645" s="118"/>
    </row>
    <row r="646" spans="1:108" s="19" customFormat="1" ht="48" outlineLevel="2">
      <c r="A646" s="178">
        <v>40450</v>
      </c>
      <c r="B646" s="164" t="s">
        <v>580</v>
      </c>
      <c r="C646" s="164" t="s">
        <v>1655</v>
      </c>
      <c r="D646" s="166" t="s">
        <v>435</v>
      </c>
      <c r="E646" s="163"/>
      <c r="F646" s="105"/>
      <c r="G646" s="105"/>
      <c r="H646" s="105">
        <v>225</v>
      </c>
      <c r="I646" s="105">
        <v>45</v>
      </c>
      <c r="J646" s="105"/>
      <c r="K646" s="105">
        <v>45</v>
      </c>
      <c r="L646" s="105"/>
      <c r="M646" s="105"/>
      <c r="N646" s="105"/>
      <c r="O646" s="105"/>
      <c r="P646" s="105"/>
      <c r="Q646" s="105"/>
      <c r="R646" s="105"/>
      <c r="S646" s="105"/>
      <c r="T646" s="106"/>
      <c r="U646" s="130"/>
      <c r="V646" s="1"/>
      <c r="W646" s="68">
        <f t="shared" si="163"/>
        <v>0</v>
      </c>
      <c r="X646" s="68">
        <f t="shared" si="164"/>
        <v>0</v>
      </c>
      <c r="Y646" s="68">
        <f t="shared" si="165"/>
        <v>0</v>
      </c>
      <c r="Z646" s="68">
        <f t="shared" si="166"/>
        <v>0</v>
      </c>
      <c r="AA646" s="68"/>
      <c r="AB646" s="68">
        <v>0</v>
      </c>
      <c r="AC646" s="69">
        <f t="shared" si="167"/>
        <v>0</v>
      </c>
      <c r="AD646" s="70">
        <v>0</v>
      </c>
      <c r="AE646" s="63">
        <v>40484</v>
      </c>
      <c r="AF646" s="72"/>
      <c r="AG646" s="63" t="s">
        <v>938</v>
      </c>
      <c r="AH646" s="23" t="s">
        <v>939</v>
      </c>
      <c r="AI646" s="83"/>
      <c r="AJ646" s="124" t="s">
        <v>1608</v>
      </c>
      <c r="AK646" s="121" t="s">
        <v>1036</v>
      </c>
      <c r="AL646" s="107"/>
      <c r="AM646" s="108"/>
      <c r="AN646" s="109"/>
      <c r="AO646" s="108"/>
      <c r="AP646" s="108"/>
      <c r="AQ646" s="108"/>
      <c r="AR646" s="108"/>
      <c r="AS646" s="108"/>
      <c r="AT646" s="108"/>
      <c r="AU646" s="108"/>
      <c r="AV646" s="108"/>
      <c r="AW646" s="108"/>
      <c r="AX646" s="108"/>
      <c r="AY646" s="108"/>
      <c r="AZ646" s="108"/>
      <c r="BA646" s="108"/>
      <c r="BB646" s="108"/>
      <c r="BC646" s="108"/>
      <c r="BD646" s="108"/>
      <c r="BE646" s="108"/>
      <c r="BF646" s="108"/>
      <c r="BG646" s="108"/>
      <c r="BH646" s="108"/>
      <c r="BI646" s="108"/>
      <c r="BJ646" s="108"/>
      <c r="BK646" s="108"/>
      <c r="BL646" s="108"/>
      <c r="BM646" s="108"/>
      <c r="BN646" s="108"/>
      <c r="BO646" s="108"/>
      <c r="BP646" s="108"/>
      <c r="BQ646" s="108"/>
      <c r="BR646" s="108"/>
      <c r="BS646" s="108"/>
      <c r="BT646" s="108"/>
      <c r="BU646" s="108"/>
      <c r="BV646" s="108"/>
      <c r="BW646" s="108"/>
      <c r="BX646" s="108"/>
      <c r="BY646" s="108"/>
      <c r="BZ646" s="108"/>
      <c r="CA646" s="108"/>
      <c r="CB646" s="108"/>
      <c r="CC646" s="108"/>
      <c r="CD646" s="108"/>
      <c r="CE646" s="108"/>
      <c r="CF646" s="108"/>
      <c r="CG646" s="108"/>
      <c r="CH646" s="108"/>
      <c r="CI646" s="108"/>
      <c r="CJ646" s="108"/>
      <c r="CK646" s="108"/>
      <c r="CL646" s="108"/>
      <c r="CM646" s="108"/>
      <c r="CN646" s="110"/>
      <c r="CO646" s="111"/>
      <c r="CP646" s="110"/>
      <c r="CQ646" s="111"/>
      <c r="CR646" s="110"/>
      <c r="CS646" s="111"/>
      <c r="CT646" s="112">
        <f t="shared" si="168"/>
        <v>0</v>
      </c>
      <c r="CU646" s="113"/>
      <c r="CV646" s="114"/>
      <c r="CW646" s="115"/>
      <c r="CX646" s="116"/>
      <c r="CY646" s="117"/>
      <c r="CZ646" s="116"/>
      <c r="DA646" s="113"/>
      <c r="DB646" s="114"/>
      <c r="DC646" s="64"/>
      <c r="DD646" s="118"/>
    </row>
    <row r="647" spans="1:108" ht="96" outlineLevel="2">
      <c r="A647" s="178">
        <v>40454</v>
      </c>
      <c r="B647" s="164" t="s">
        <v>580</v>
      </c>
      <c r="C647" s="164" t="s">
        <v>776</v>
      </c>
      <c r="D647" s="166" t="s">
        <v>1262</v>
      </c>
      <c r="E647" s="163"/>
      <c r="F647" s="105"/>
      <c r="G647" s="105"/>
      <c r="H647" s="105">
        <v>2225</v>
      </c>
      <c r="I647" s="105">
        <v>489</v>
      </c>
      <c r="J647" s="105"/>
      <c r="K647" s="105">
        <v>489</v>
      </c>
      <c r="L647" s="105"/>
      <c r="M647" s="105"/>
      <c r="N647" s="105"/>
      <c r="O647" s="105"/>
      <c r="P647" s="105"/>
      <c r="Q647" s="105"/>
      <c r="R647" s="105"/>
      <c r="S647" s="105"/>
      <c r="T647" s="106">
        <v>515</v>
      </c>
      <c r="U647" s="130" t="s">
        <v>1035</v>
      </c>
      <c r="V647" s="1"/>
      <c r="W647" s="68">
        <f t="shared" si="163"/>
        <v>0</v>
      </c>
      <c r="X647" s="68">
        <f t="shared" si="164"/>
        <v>0</v>
      </c>
      <c r="Y647" s="68">
        <f t="shared" si="165"/>
        <v>0</v>
      </c>
      <c r="Z647" s="68">
        <f t="shared" si="166"/>
        <v>0</v>
      </c>
      <c r="AA647" s="68"/>
      <c r="AB647" s="68">
        <v>0</v>
      </c>
      <c r="AC647" s="69">
        <f t="shared" si="167"/>
        <v>0</v>
      </c>
      <c r="AD647" s="70">
        <v>29750000</v>
      </c>
      <c r="AE647" s="63">
        <v>40455</v>
      </c>
      <c r="AF647" s="72"/>
      <c r="AG647" s="63" t="s">
        <v>954</v>
      </c>
      <c r="AH647" s="23" t="s">
        <v>955</v>
      </c>
      <c r="AI647" s="60"/>
      <c r="AJ647" s="124" t="s">
        <v>1476</v>
      </c>
      <c r="AK647" s="121" t="s">
        <v>1034</v>
      </c>
      <c r="AL647" s="107"/>
      <c r="AM647" s="108"/>
      <c r="AN647" s="109"/>
      <c r="AO647" s="108"/>
      <c r="AP647" s="108"/>
      <c r="AQ647" s="108"/>
      <c r="AR647" s="108"/>
      <c r="AS647" s="108"/>
      <c r="AT647" s="108"/>
      <c r="AU647" s="108"/>
      <c r="AV647" s="108"/>
      <c r="AW647" s="108"/>
      <c r="AX647" s="108"/>
      <c r="AY647" s="108"/>
      <c r="AZ647" s="108"/>
      <c r="BA647" s="108"/>
      <c r="BB647" s="108"/>
      <c r="BC647" s="108"/>
      <c r="BD647" s="108"/>
      <c r="BE647" s="108"/>
      <c r="BF647" s="108"/>
      <c r="BG647" s="108"/>
      <c r="BH647" s="108"/>
      <c r="BI647" s="108"/>
      <c r="BJ647" s="108"/>
      <c r="BK647" s="108"/>
      <c r="BL647" s="108"/>
      <c r="BM647" s="108"/>
      <c r="BN647" s="108"/>
      <c r="BO647" s="108"/>
      <c r="BP647" s="108"/>
      <c r="BQ647" s="108"/>
      <c r="BR647" s="108"/>
      <c r="BS647" s="108"/>
      <c r="BT647" s="108"/>
      <c r="BU647" s="108"/>
      <c r="BV647" s="108"/>
      <c r="BW647" s="108"/>
      <c r="BX647" s="108"/>
      <c r="BY647" s="108"/>
      <c r="BZ647" s="108"/>
      <c r="CA647" s="108"/>
      <c r="CB647" s="108"/>
      <c r="CC647" s="108"/>
      <c r="CD647" s="108"/>
      <c r="CE647" s="108"/>
      <c r="CF647" s="108"/>
      <c r="CG647" s="108"/>
      <c r="CH647" s="108"/>
      <c r="CI647" s="108"/>
      <c r="CJ647" s="108"/>
      <c r="CK647" s="108"/>
      <c r="CL647" s="108"/>
      <c r="CM647" s="108"/>
      <c r="CN647" s="110"/>
      <c r="CO647" s="111"/>
      <c r="CP647" s="110"/>
      <c r="CQ647" s="111"/>
      <c r="CR647" s="110"/>
      <c r="CS647" s="111"/>
      <c r="CT647" s="112">
        <f t="shared" si="168"/>
        <v>0</v>
      </c>
      <c r="CU647" s="113"/>
      <c r="CV647" s="114"/>
      <c r="CW647" s="115"/>
      <c r="CX647" s="116"/>
      <c r="CY647" s="117"/>
      <c r="CZ647" s="116"/>
      <c r="DA647" s="113"/>
      <c r="DB647" s="114"/>
      <c r="DC647" s="64"/>
      <c r="DD647" s="118"/>
    </row>
    <row r="648" spans="1:108" ht="24" outlineLevel="2">
      <c r="A648" s="178">
        <v>40465</v>
      </c>
      <c r="B648" s="164" t="s">
        <v>580</v>
      </c>
      <c r="C648" s="164" t="s">
        <v>1218</v>
      </c>
      <c r="D648" s="165" t="s">
        <v>1182</v>
      </c>
      <c r="E648" s="163"/>
      <c r="F648" s="105"/>
      <c r="G648" s="105"/>
      <c r="H648" s="105">
        <v>5</v>
      </c>
      <c r="I648" s="105">
        <v>1</v>
      </c>
      <c r="J648" s="105">
        <v>1</v>
      </c>
      <c r="K648" s="105"/>
      <c r="L648" s="105"/>
      <c r="M648" s="105"/>
      <c r="N648" s="105"/>
      <c r="O648" s="105"/>
      <c r="P648" s="105"/>
      <c r="Q648" s="105"/>
      <c r="R648" s="105"/>
      <c r="S648" s="105"/>
      <c r="T648" s="106"/>
      <c r="U648" s="130"/>
      <c r="V648" s="1"/>
      <c r="W648" s="68">
        <f t="shared" si="163"/>
        <v>0</v>
      </c>
      <c r="X648" s="68">
        <f t="shared" si="164"/>
        <v>0</v>
      </c>
      <c r="Y648" s="68">
        <f t="shared" si="165"/>
        <v>0</v>
      </c>
      <c r="Z648" s="68">
        <f t="shared" si="166"/>
        <v>0</v>
      </c>
      <c r="AA648" s="68"/>
      <c r="AB648" s="68">
        <v>0</v>
      </c>
      <c r="AC648" s="69">
        <f t="shared" si="167"/>
        <v>0</v>
      </c>
      <c r="AD648" s="70">
        <v>0</v>
      </c>
      <c r="AE648" s="63">
        <v>40470</v>
      </c>
      <c r="AF648" s="72"/>
      <c r="AG648" s="63" t="s">
        <v>938</v>
      </c>
      <c r="AH648" s="23" t="s">
        <v>939</v>
      </c>
      <c r="AI648" s="60"/>
      <c r="AJ648" s="124" t="s">
        <v>1608</v>
      </c>
      <c r="AK648" s="121" t="s">
        <v>2305</v>
      </c>
      <c r="AL648" s="107"/>
      <c r="AM648" s="108"/>
      <c r="AN648" s="109"/>
      <c r="AO648" s="108"/>
      <c r="AP648" s="108"/>
      <c r="AQ648" s="108"/>
      <c r="AR648" s="108"/>
      <c r="AS648" s="108"/>
      <c r="AT648" s="108"/>
      <c r="AU648" s="108"/>
      <c r="AV648" s="108"/>
      <c r="AW648" s="108"/>
      <c r="AX648" s="108"/>
      <c r="AY648" s="108"/>
      <c r="AZ648" s="108"/>
      <c r="BA648" s="108"/>
      <c r="BB648" s="108"/>
      <c r="BC648" s="108"/>
      <c r="BD648" s="108"/>
      <c r="BE648" s="108"/>
      <c r="BF648" s="108"/>
      <c r="BG648" s="108"/>
      <c r="BH648" s="108"/>
      <c r="BI648" s="108"/>
      <c r="BJ648" s="108"/>
      <c r="BK648" s="108"/>
      <c r="BL648" s="108"/>
      <c r="BM648" s="108"/>
      <c r="BN648" s="108"/>
      <c r="BO648" s="108"/>
      <c r="BP648" s="108"/>
      <c r="BQ648" s="108"/>
      <c r="BR648" s="108"/>
      <c r="BS648" s="108"/>
      <c r="BT648" s="108"/>
      <c r="BU648" s="108"/>
      <c r="BV648" s="108"/>
      <c r="BW648" s="108"/>
      <c r="BX648" s="108"/>
      <c r="BY648" s="108"/>
      <c r="BZ648" s="108"/>
      <c r="CA648" s="108"/>
      <c r="CB648" s="108"/>
      <c r="CC648" s="108"/>
      <c r="CD648" s="108"/>
      <c r="CE648" s="108"/>
      <c r="CF648" s="108"/>
      <c r="CG648" s="108"/>
      <c r="CH648" s="108"/>
      <c r="CI648" s="108"/>
      <c r="CJ648" s="108"/>
      <c r="CK648" s="108"/>
      <c r="CL648" s="108"/>
      <c r="CM648" s="108"/>
      <c r="CN648" s="110"/>
      <c r="CO648" s="111"/>
      <c r="CP648" s="110"/>
      <c r="CQ648" s="111"/>
      <c r="CR648" s="110"/>
      <c r="CS648" s="111"/>
      <c r="CT648" s="112">
        <f t="shared" si="168"/>
        <v>0</v>
      </c>
      <c r="CU648" s="113"/>
      <c r="CV648" s="114"/>
      <c r="CW648" s="115"/>
      <c r="CX648" s="116"/>
      <c r="CY648" s="117"/>
      <c r="CZ648" s="116"/>
      <c r="DA648" s="113"/>
      <c r="DB648" s="114"/>
      <c r="DC648" s="64"/>
      <c r="DD648" s="118"/>
    </row>
    <row r="649" spans="1:108" ht="45" outlineLevel="2">
      <c r="A649" s="178">
        <v>40483</v>
      </c>
      <c r="B649" s="164" t="s">
        <v>580</v>
      </c>
      <c r="C649" s="164" t="s">
        <v>1025</v>
      </c>
      <c r="D649" s="166" t="s">
        <v>1262</v>
      </c>
      <c r="E649" s="163"/>
      <c r="F649" s="105"/>
      <c r="G649" s="105"/>
      <c r="H649" s="105">
        <v>9640</v>
      </c>
      <c r="I649" s="105">
        <v>2102</v>
      </c>
      <c r="J649" s="105">
        <v>3</v>
      </c>
      <c r="K649" s="105">
        <v>1141</v>
      </c>
      <c r="L649" s="105"/>
      <c r="M649" s="105"/>
      <c r="N649" s="105"/>
      <c r="O649" s="105"/>
      <c r="P649" s="105"/>
      <c r="Q649" s="105"/>
      <c r="R649" s="105"/>
      <c r="S649" s="105"/>
      <c r="T649" s="106"/>
      <c r="U649" s="130"/>
      <c r="V649" s="1">
        <v>40515</v>
      </c>
      <c r="W649" s="68">
        <f t="shared" si="163"/>
        <v>7349985</v>
      </c>
      <c r="X649" s="68">
        <f t="shared" si="164"/>
        <v>96048259.800000012</v>
      </c>
      <c r="Y649" s="68">
        <f t="shared" si="165"/>
        <v>0</v>
      </c>
      <c r="Z649" s="68">
        <f t="shared" si="166"/>
        <v>0</v>
      </c>
      <c r="AA649" s="68"/>
      <c r="AB649" s="68">
        <v>0</v>
      </c>
      <c r="AC649" s="69">
        <f t="shared" si="167"/>
        <v>103398244.80000001</v>
      </c>
      <c r="AD649" s="70">
        <v>0</v>
      </c>
      <c r="AE649" s="63">
        <v>40484</v>
      </c>
      <c r="AF649" s="72">
        <v>62748</v>
      </c>
      <c r="AG649" s="63" t="s">
        <v>954</v>
      </c>
      <c r="AH649" s="23" t="s">
        <v>955</v>
      </c>
      <c r="AI649" s="83">
        <v>26019</v>
      </c>
      <c r="AJ649" s="133" t="s">
        <v>415</v>
      </c>
      <c r="AK649" s="147" t="s">
        <v>1026</v>
      </c>
      <c r="AL649" s="107"/>
      <c r="AM649" s="108"/>
      <c r="AN649" s="109"/>
      <c r="AO649" s="108"/>
      <c r="AP649" s="108"/>
      <c r="AQ649" s="108"/>
      <c r="AR649" s="108"/>
      <c r="AS649" s="108"/>
      <c r="AT649" s="108"/>
      <c r="AU649" s="108"/>
      <c r="AV649" s="108"/>
      <c r="AW649" s="108"/>
      <c r="AX649" s="108"/>
      <c r="AY649" s="108"/>
      <c r="AZ649" s="108"/>
      <c r="BA649" s="108"/>
      <c r="BB649" s="108"/>
      <c r="BC649" s="108"/>
      <c r="BD649" s="108"/>
      <c r="BE649" s="108"/>
      <c r="BF649" s="108"/>
      <c r="BG649" s="108"/>
      <c r="BH649" s="108"/>
      <c r="BI649" s="108"/>
      <c r="BJ649" s="108"/>
      <c r="BK649" s="108"/>
      <c r="BL649" s="108"/>
      <c r="BM649" s="108"/>
      <c r="BN649" s="108"/>
      <c r="BO649" s="108"/>
      <c r="BP649" s="108"/>
      <c r="BQ649" s="108"/>
      <c r="BR649" s="108"/>
      <c r="BS649" s="108"/>
      <c r="BT649" s="108"/>
      <c r="BU649" s="108"/>
      <c r="BV649" s="108"/>
      <c r="BW649" s="108"/>
      <c r="BX649" s="108">
        <v>1500</v>
      </c>
      <c r="BY649" s="108">
        <f>1500*4899.99</f>
        <v>7349985</v>
      </c>
      <c r="BZ649" s="108"/>
      <c r="CA649" s="108"/>
      <c r="CB649" s="108"/>
      <c r="CC649" s="108"/>
      <c r="CD649" s="108"/>
      <c r="CE649" s="108"/>
      <c r="CF649" s="108"/>
      <c r="CG649" s="108"/>
      <c r="CH649" s="108"/>
      <c r="CI649" s="108"/>
      <c r="CJ649" s="108"/>
      <c r="CK649" s="108"/>
      <c r="CL649" s="108"/>
      <c r="CM649" s="108"/>
      <c r="CN649" s="110"/>
      <c r="CO649" s="111"/>
      <c r="CP649" s="110"/>
      <c r="CQ649" s="111"/>
      <c r="CR649" s="110"/>
      <c r="CS649" s="111"/>
      <c r="CT649" s="112">
        <f t="shared" si="168"/>
        <v>7349985</v>
      </c>
      <c r="CU649" s="113"/>
      <c r="CV649" s="114"/>
      <c r="CW649" s="115">
        <v>1130</v>
      </c>
      <c r="CX649" s="116">
        <f>1130*84998.46</f>
        <v>96048259.800000012</v>
      </c>
      <c r="CY649" s="117"/>
      <c r="CZ649" s="116"/>
      <c r="DA649" s="113"/>
      <c r="DB649" s="114"/>
      <c r="DC649" s="64"/>
      <c r="DD649" s="118"/>
    </row>
    <row r="650" spans="1:108" ht="45" outlineLevel="2">
      <c r="A650" s="178">
        <v>40485</v>
      </c>
      <c r="B650" s="164" t="s">
        <v>580</v>
      </c>
      <c r="C650" s="164" t="s">
        <v>1590</v>
      </c>
      <c r="D650" s="166" t="s">
        <v>1262</v>
      </c>
      <c r="E650" s="163"/>
      <c r="F650" s="105"/>
      <c r="G650" s="105"/>
      <c r="H650" s="105">
        <f>13856-1205</f>
        <v>12651</v>
      </c>
      <c r="I650" s="105">
        <f>2885-241</f>
        <v>2644</v>
      </c>
      <c r="J650" s="105"/>
      <c r="K650" s="105">
        <v>1080</v>
      </c>
      <c r="L650" s="105"/>
      <c r="M650" s="105"/>
      <c r="N650" s="105"/>
      <c r="O650" s="105"/>
      <c r="P650" s="105"/>
      <c r="Q650" s="105"/>
      <c r="R650" s="105"/>
      <c r="S650" s="105"/>
      <c r="T650" s="106"/>
      <c r="U650" s="130"/>
      <c r="V650" s="1"/>
      <c r="W650" s="68">
        <f t="shared" si="163"/>
        <v>0</v>
      </c>
      <c r="X650" s="68">
        <f t="shared" si="164"/>
        <v>0</v>
      </c>
      <c r="Y650" s="68">
        <f t="shared" si="165"/>
        <v>0</v>
      </c>
      <c r="Z650" s="68">
        <f t="shared" si="166"/>
        <v>0</v>
      </c>
      <c r="AA650" s="68"/>
      <c r="AB650" s="68">
        <v>0</v>
      </c>
      <c r="AC650" s="69">
        <f t="shared" si="167"/>
        <v>0</v>
      </c>
      <c r="AD650" s="70">
        <v>48250000</v>
      </c>
      <c r="AE650" s="63">
        <v>40487</v>
      </c>
      <c r="AF650" s="72"/>
      <c r="AG650" s="63" t="s">
        <v>954</v>
      </c>
      <c r="AH650" s="23" t="s">
        <v>955</v>
      </c>
      <c r="AI650" s="60"/>
      <c r="AJ650" s="133" t="s">
        <v>415</v>
      </c>
      <c r="AK650" s="121" t="s">
        <v>389</v>
      </c>
      <c r="AL650" s="107"/>
      <c r="AM650" s="108"/>
      <c r="AN650" s="109"/>
      <c r="AO650" s="108"/>
      <c r="AP650" s="108"/>
      <c r="AQ650" s="108"/>
      <c r="AR650" s="108"/>
      <c r="AS650" s="108"/>
      <c r="AT650" s="108"/>
      <c r="AU650" s="108"/>
      <c r="AV650" s="108"/>
      <c r="AW650" s="108"/>
      <c r="AX650" s="108"/>
      <c r="AY650" s="108"/>
      <c r="AZ650" s="108"/>
      <c r="BA650" s="108"/>
      <c r="BB650" s="108"/>
      <c r="BC650" s="108"/>
      <c r="BD650" s="108"/>
      <c r="BE650" s="108"/>
      <c r="BF650" s="108"/>
      <c r="BG650" s="108"/>
      <c r="BH650" s="108"/>
      <c r="BI650" s="108"/>
      <c r="BJ650" s="108"/>
      <c r="BK650" s="108"/>
      <c r="BL650" s="108"/>
      <c r="BM650" s="108"/>
      <c r="BN650" s="108"/>
      <c r="BO650" s="108"/>
      <c r="BP650" s="108"/>
      <c r="BQ650" s="108"/>
      <c r="BR650" s="108"/>
      <c r="BS650" s="108"/>
      <c r="BT650" s="108"/>
      <c r="BU650" s="108"/>
      <c r="BV650" s="108"/>
      <c r="BW650" s="108"/>
      <c r="BX650" s="108"/>
      <c r="BY650" s="108"/>
      <c r="BZ650" s="108"/>
      <c r="CA650" s="108"/>
      <c r="CB650" s="108"/>
      <c r="CC650" s="108"/>
      <c r="CD650" s="108"/>
      <c r="CE650" s="108"/>
      <c r="CF650" s="108"/>
      <c r="CG650" s="108"/>
      <c r="CH650" s="108"/>
      <c r="CI650" s="108"/>
      <c r="CJ650" s="108"/>
      <c r="CK650" s="108"/>
      <c r="CL650" s="108"/>
      <c r="CM650" s="108"/>
      <c r="CN650" s="110"/>
      <c r="CO650" s="111"/>
      <c r="CP650" s="110"/>
      <c r="CQ650" s="111"/>
      <c r="CR650" s="110"/>
      <c r="CS650" s="111"/>
      <c r="CT650" s="112">
        <f t="shared" si="168"/>
        <v>0</v>
      </c>
      <c r="CU650" s="113"/>
      <c r="CV650" s="114"/>
      <c r="CW650" s="115"/>
      <c r="CX650" s="116"/>
      <c r="CY650" s="117"/>
      <c r="CZ650" s="116"/>
      <c r="DA650" s="113"/>
      <c r="DB650" s="114"/>
      <c r="DC650" s="64"/>
      <c r="DD650" s="118"/>
    </row>
    <row r="651" spans="1:108" ht="45" outlineLevel="2">
      <c r="A651" s="178">
        <v>40485</v>
      </c>
      <c r="B651" s="164" t="s">
        <v>580</v>
      </c>
      <c r="C651" s="164" t="s">
        <v>386</v>
      </c>
      <c r="D651" s="166" t="s">
        <v>1262</v>
      </c>
      <c r="E651" s="163"/>
      <c r="F651" s="105"/>
      <c r="G651" s="105"/>
      <c r="H651" s="105">
        <v>6272</v>
      </c>
      <c r="I651" s="105">
        <v>1243</v>
      </c>
      <c r="J651" s="105"/>
      <c r="K651" s="105">
        <v>1243</v>
      </c>
      <c r="L651" s="105"/>
      <c r="M651" s="105"/>
      <c r="N651" s="105"/>
      <c r="O651" s="105"/>
      <c r="P651" s="105"/>
      <c r="Q651" s="105"/>
      <c r="R651" s="105"/>
      <c r="S651" s="105"/>
      <c r="T651" s="106"/>
      <c r="U651" s="130"/>
      <c r="V651" s="1"/>
      <c r="W651" s="68">
        <f t="shared" si="163"/>
        <v>0</v>
      </c>
      <c r="X651" s="68">
        <f t="shared" si="164"/>
        <v>0</v>
      </c>
      <c r="Y651" s="68">
        <f t="shared" si="165"/>
        <v>0</v>
      </c>
      <c r="Z651" s="68">
        <f t="shared" si="166"/>
        <v>0</v>
      </c>
      <c r="AA651" s="68"/>
      <c r="AB651" s="68">
        <v>0</v>
      </c>
      <c r="AC651" s="69">
        <f t="shared" si="167"/>
        <v>0</v>
      </c>
      <c r="AD651" s="70">
        <v>75250000</v>
      </c>
      <c r="AE651" s="63">
        <v>40487</v>
      </c>
      <c r="AF651" s="72"/>
      <c r="AG651" s="63" t="s">
        <v>954</v>
      </c>
      <c r="AH651" s="23" t="s">
        <v>955</v>
      </c>
      <c r="AI651" s="60"/>
      <c r="AJ651" s="133" t="s">
        <v>415</v>
      </c>
      <c r="AK651" s="185" t="s">
        <v>387</v>
      </c>
      <c r="AL651" s="123"/>
      <c r="AM651" s="108"/>
      <c r="AN651" s="109"/>
      <c r="AO651" s="108"/>
      <c r="AP651" s="108"/>
      <c r="AQ651" s="108"/>
      <c r="AR651" s="108"/>
      <c r="AS651" s="108"/>
      <c r="AT651" s="108"/>
      <c r="AU651" s="108"/>
      <c r="AV651" s="108"/>
      <c r="AW651" s="108"/>
      <c r="AX651" s="108"/>
      <c r="AY651" s="108"/>
      <c r="AZ651" s="108"/>
      <c r="BA651" s="108"/>
      <c r="BB651" s="108"/>
      <c r="BC651" s="108"/>
      <c r="BD651" s="108"/>
      <c r="BE651" s="108"/>
      <c r="BF651" s="108"/>
      <c r="BG651" s="108"/>
      <c r="BH651" s="108"/>
      <c r="BI651" s="108"/>
      <c r="BJ651" s="108"/>
      <c r="BK651" s="108"/>
      <c r="BL651" s="108"/>
      <c r="BM651" s="108"/>
      <c r="BN651" s="108"/>
      <c r="BO651" s="108"/>
      <c r="BP651" s="108"/>
      <c r="BQ651" s="108"/>
      <c r="BR651" s="108"/>
      <c r="BS651" s="108"/>
      <c r="BT651" s="108"/>
      <c r="BU651" s="108"/>
      <c r="BV651" s="108"/>
      <c r="BW651" s="108"/>
      <c r="BX651" s="108"/>
      <c r="BY651" s="108"/>
      <c r="BZ651" s="108"/>
      <c r="CA651" s="108"/>
      <c r="CB651" s="108"/>
      <c r="CC651" s="108"/>
      <c r="CD651" s="108"/>
      <c r="CE651" s="108"/>
      <c r="CF651" s="108"/>
      <c r="CG651" s="108"/>
      <c r="CH651" s="108"/>
      <c r="CI651" s="108"/>
      <c r="CJ651" s="108"/>
      <c r="CK651" s="108"/>
      <c r="CL651" s="108"/>
      <c r="CM651" s="108"/>
      <c r="CN651" s="110"/>
      <c r="CO651" s="111"/>
      <c r="CP651" s="110"/>
      <c r="CQ651" s="111"/>
      <c r="CR651" s="110"/>
      <c r="CS651" s="111"/>
      <c r="CT651" s="112">
        <f t="shared" si="168"/>
        <v>0</v>
      </c>
      <c r="CU651" s="113"/>
      <c r="CV651" s="114"/>
      <c r="CW651" s="115"/>
      <c r="CX651" s="116"/>
      <c r="CY651" s="117"/>
      <c r="CZ651" s="116"/>
      <c r="DA651" s="113"/>
      <c r="DB651" s="114"/>
      <c r="DC651" s="64"/>
      <c r="DD651" s="118"/>
    </row>
    <row r="652" spans="1:108" ht="45" outlineLevel="2">
      <c r="A652" s="178">
        <v>40485</v>
      </c>
      <c r="B652" s="164" t="s">
        <v>580</v>
      </c>
      <c r="C652" s="164" t="s">
        <v>507</v>
      </c>
      <c r="D652" s="166" t="s">
        <v>1262</v>
      </c>
      <c r="E652" s="163"/>
      <c r="F652" s="105"/>
      <c r="G652" s="105"/>
      <c r="H652" s="105">
        <v>5952</v>
      </c>
      <c r="I652" s="105">
        <v>1336</v>
      </c>
      <c r="J652" s="105"/>
      <c r="K652" s="105">
        <v>1336</v>
      </c>
      <c r="L652" s="105"/>
      <c r="M652" s="105"/>
      <c r="N652" s="105"/>
      <c r="O652" s="105"/>
      <c r="P652" s="105"/>
      <c r="Q652" s="105"/>
      <c r="R652" s="105"/>
      <c r="S652" s="105"/>
      <c r="T652" s="106"/>
      <c r="U652" s="130"/>
      <c r="V652" s="1"/>
      <c r="W652" s="68">
        <f t="shared" si="163"/>
        <v>0</v>
      </c>
      <c r="X652" s="68">
        <f t="shared" si="164"/>
        <v>0</v>
      </c>
      <c r="Y652" s="68">
        <f t="shared" si="165"/>
        <v>0</v>
      </c>
      <c r="Z652" s="68">
        <f t="shared" si="166"/>
        <v>0</v>
      </c>
      <c r="AA652" s="68"/>
      <c r="AB652" s="68">
        <v>0</v>
      </c>
      <c r="AC652" s="69">
        <f t="shared" si="167"/>
        <v>0</v>
      </c>
      <c r="AD652" s="70">
        <v>91400000</v>
      </c>
      <c r="AE652" s="63">
        <v>40492</v>
      </c>
      <c r="AF652" s="72"/>
      <c r="AG652" s="63" t="s">
        <v>954</v>
      </c>
      <c r="AH652" s="23" t="s">
        <v>955</v>
      </c>
      <c r="AI652" s="60"/>
      <c r="AJ652" s="133" t="s">
        <v>415</v>
      </c>
      <c r="AK652" s="121" t="s">
        <v>385</v>
      </c>
      <c r="AL652" s="107"/>
      <c r="AM652" s="108"/>
      <c r="AN652" s="109"/>
      <c r="AO652" s="108"/>
      <c r="AP652" s="108"/>
      <c r="AQ652" s="108"/>
      <c r="AR652" s="108"/>
      <c r="AS652" s="108"/>
      <c r="AT652" s="108"/>
      <c r="AU652" s="108"/>
      <c r="AV652" s="108"/>
      <c r="AW652" s="108"/>
      <c r="AX652" s="108"/>
      <c r="AY652" s="108"/>
      <c r="AZ652" s="108"/>
      <c r="BA652" s="108"/>
      <c r="BB652" s="108"/>
      <c r="BC652" s="108"/>
      <c r="BD652" s="108"/>
      <c r="BE652" s="108"/>
      <c r="BF652" s="108"/>
      <c r="BG652" s="108"/>
      <c r="BH652" s="108"/>
      <c r="BI652" s="108"/>
      <c r="BJ652" s="108"/>
      <c r="BK652" s="108"/>
      <c r="BL652" s="108"/>
      <c r="BM652" s="108"/>
      <c r="BN652" s="108"/>
      <c r="BO652" s="108"/>
      <c r="BP652" s="108"/>
      <c r="BQ652" s="108"/>
      <c r="BR652" s="108"/>
      <c r="BS652" s="108"/>
      <c r="BT652" s="108"/>
      <c r="BU652" s="108"/>
      <c r="BV652" s="108"/>
      <c r="BW652" s="108"/>
      <c r="BX652" s="108"/>
      <c r="BY652" s="108"/>
      <c r="BZ652" s="108"/>
      <c r="CA652" s="108"/>
      <c r="CB652" s="108"/>
      <c r="CC652" s="108"/>
      <c r="CD652" s="108"/>
      <c r="CE652" s="108"/>
      <c r="CF652" s="108"/>
      <c r="CG652" s="108"/>
      <c r="CH652" s="108"/>
      <c r="CI652" s="108"/>
      <c r="CJ652" s="108"/>
      <c r="CK652" s="108"/>
      <c r="CL652" s="108"/>
      <c r="CM652" s="108"/>
      <c r="CN652" s="110"/>
      <c r="CO652" s="111"/>
      <c r="CP652" s="110"/>
      <c r="CQ652" s="111"/>
      <c r="CR652" s="110"/>
      <c r="CS652" s="111"/>
      <c r="CT652" s="112">
        <f t="shared" si="168"/>
        <v>0</v>
      </c>
      <c r="CU652" s="113"/>
      <c r="CV652" s="114"/>
      <c r="CW652" s="115"/>
      <c r="CX652" s="116"/>
      <c r="CY652" s="117"/>
      <c r="CZ652" s="116"/>
      <c r="DA652" s="113"/>
      <c r="DB652" s="114"/>
      <c r="DC652" s="64"/>
      <c r="DD652" s="118"/>
    </row>
    <row r="653" spans="1:108" ht="45" outlineLevel="2">
      <c r="A653" s="178">
        <v>40485</v>
      </c>
      <c r="B653" s="164" t="s">
        <v>580</v>
      </c>
      <c r="C653" s="164" t="s">
        <v>1199</v>
      </c>
      <c r="D653" s="166" t="s">
        <v>1262</v>
      </c>
      <c r="E653" s="163"/>
      <c r="F653" s="105"/>
      <c r="G653" s="105"/>
      <c r="H653" s="105">
        <v>9516</v>
      </c>
      <c r="I653" s="105">
        <v>1867</v>
      </c>
      <c r="J653" s="105">
        <v>3</v>
      </c>
      <c r="K653" s="105">
        <v>1864</v>
      </c>
      <c r="L653" s="105"/>
      <c r="M653" s="105"/>
      <c r="N653" s="105"/>
      <c r="O653" s="105"/>
      <c r="P653" s="105"/>
      <c r="Q653" s="105"/>
      <c r="R653" s="105"/>
      <c r="S653" s="105"/>
      <c r="T653" s="106"/>
      <c r="U653" s="130"/>
      <c r="V653" s="1"/>
      <c r="W653" s="68">
        <f t="shared" si="163"/>
        <v>0</v>
      </c>
      <c r="X653" s="68">
        <f t="shared" si="164"/>
        <v>0</v>
      </c>
      <c r="Y653" s="68">
        <f t="shared" si="165"/>
        <v>0</v>
      </c>
      <c r="Z653" s="68">
        <f t="shared" si="166"/>
        <v>0</v>
      </c>
      <c r="AA653" s="68"/>
      <c r="AB653" s="68">
        <v>0</v>
      </c>
      <c r="AC653" s="69">
        <f t="shared" si="167"/>
        <v>0</v>
      </c>
      <c r="AD653" s="70">
        <v>84090000</v>
      </c>
      <c r="AE653" s="63">
        <v>40487</v>
      </c>
      <c r="AF653" s="72"/>
      <c r="AG653" s="63" t="s">
        <v>954</v>
      </c>
      <c r="AH653" s="23" t="s">
        <v>955</v>
      </c>
      <c r="AI653" s="60"/>
      <c r="AJ653" s="133" t="s">
        <v>415</v>
      </c>
      <c r="AK653" s="121" t="s">
        <v>387</v>
      </c>
      <c r="AL653" s="107"/>
      <c r="AM653" s="108"/>
      <c r="AN653" s="109"/>
      <c r="AO653" s="108"/>
      <c r="AP653" s="108"/>
      <c r="AQ653" s="108"/>
      <c r="AR653" s="108"/>
      <c r="AS653" s="108"/>
      <c r="AT653" s="108"/>
      <c r="AU653" s="108"/>
      <c r="AV653" s="108"/>
      <c r="AW653" s="108"/>
      <c r="AX653" s="108"/>
      <c r="AY653" s="108"/>
      <c r="AZ653" s="108"/>
      <c r="BA653" s="108"/>
      <c r="BB653" s="108"/>
      <c r="BC653" s="108"/>
      <c r="BD653" s="108"/>
      <c r="BE653" s="108"/>
      <c r="BF653" s="108"/>
      <c r="BG653" s="108"/>
      <c r="BH653" s="108"/>
      <c r="BI653" s="108"/>
      <c r="BJ653" s="108"/>
      <c r="BK653" s="108"/>
      <c r="BL653" s="108"/>
      <c r="BM653" s="108"/>
      <c r="BN653" s="108"/>
      <c r="BO653" s="108"/>
      <c r="BP653" s="108"/>
      <c r="BQ653" s="108"/>
      <c r="BR653" s="108"/>
      <c r="BS653" s="108"/>
      <c r="BT653" s="108"/>
      <c r="BU653" s="108"/>
      <c r="BV653" s="108"/>
      <c r="BW653" s="108"/>
      <c r="BX653" s="108"/>
      <c r="BY653" s="108"/>
      <c r="BZ653" s="108"/>
      <c r="CA653" s="108"/>
      <c r="CB653" s="108"/>
      <c r="CC653" s="108"/>
      <c r="CD653" s="108"/>
      <c r="CE653" s="108"/>
      <c r="CF653" s="108"/>
      <c r="CG653" s="108"/>
      <c r="CH653" s="108"/>
      <c r="CI653" s="108"/>
      <c r="CJ653" s="108"/>
      <c r="CK653" s="108"/>
      <c r="CL653" s="108"/>
      <c r="CM653" s="108"/>
      <c r="CN653" s="110"/>
      <c r="CO653" s="111"/>
      <c r="CP653" s="110"/>
      <c r="CQ653" s="111"/>
      <c r="CR653" s="110"/>
      <c r="CS653" s="111"/>
      <c r="CT653" s="112">
        <f t="shared" si="168"/>
        <v>0</v>
      </c>
      <c r="CU653" s="113"/>
      <c r="CV653" s="114"/>
      <c r="CW653" s="115"/>
      <c r="CX653" s="116"/>
      <c r="CY653" s="117"/>
      <c r="CZ653" s="116"/>
      <c r="DA653" s="113"/>
      <c r="DB653" s="114"/>
      <c r="DC653" s="64"/>
      <c r="DD653" s="118"/>
    </row>
    <row r="654" spans="1:108" ht="45" outlineLevel="2">
      <c r="A654" s="178">
        <v>40485</v>
      </c>
      <c r="B654" s="164" t="s">
        <v>580</v>
      </c>
      <c r="C654" s="164" t="s">
        <v>1658</v>
      </c>
      <c r="D654" s="166" t="s">
        <v>1262</v>
      </c>
      <c r="E654" s="163"/>
      <c r="F654" s="105"/>
      <c r="G654" s="105"/>
      <c r="H654" s="105">
        <v>4355</v>
      </c>
      <c r="I654" s="105">
        <v>994</v>
      </c>
      <c r="J654" s="105"/>
      <c r="K654" s="105">
        <v>994</v>
      </c>
      <c r="L654" s="105"/>
      <c r="M654" s="105"/>
      <c r="N654" s="105"/>
      <c r="O654" s="105"/>
      <c r="P654" s="105"/>
      <c r="Q654" s="105"/>
      <c r="R654" s="105"/>
      <c r="S654" s="105"/>
      <c r="T654" s="106"/>
      <c r="U654" s="130"/>
      <c r="V654" s="1"/>
      <c r="W654" s="68">
        <f t="shared" si="163"/>
        <v>0</v>
      </c>
      <c r="X654" s="68">
        <f t="shared" si="164"/>
        <v>0</v>
      </c>
      <c r="Y654" s="68">
        <f t="shared" si="165"/>
        <v>0</v>
      </c>
      <c r="Z654" s="68">
        <f t="shared" si="166"/>
        <v>0</v>
      </c>
      <c r="AA654" s="68"/>
      <c r="AB654" s="68">
        <v>0</v>
      </c>
      <c r="AC654" s="69">
        <f t="shared" si="167"/>
        <v>0</v>
      </c>
      <c r="AD654" s="70">
        <v>46975000</v>
      </c>
      <c r="AE654" s="63">
        <v>40487</v>
      </c>
      <c r="AF654" s="72"/>
      <c r="AG654" s="63" t="s">
        <v>954</v>
      </c>
      <c r="AH654" s="23" t="s">
        <v>955</v>
      </c>
      <c r="AI654" s="60"/>
      <c r="AJ654" s="133" t="s">
        <v>415</v>
      </c>
      <c r="AK654" s="121" t="s">
        <v>388</v>
      </c>
      <c r="AL654" s="107"/>
      <c r="AM654" s="108"/>
      <c r="AN654" s="109"/>
      <c r="AO654" s="108"/>
      <c r="AP654" s="108"/>
      <c r="AQ654" s="108"/>
      <c r="AR654" s="108"/>
      <c r="AS654" s="108"/>
      <c r="AT654" s="108"/>
      <c r="AU654" s="108"/>
      <c r="AV654" s="108"/>
      <c r="AW654" s="108"/>
      <c r="AX654" s="108"/>
      <c r="AY654" s="108"/>
      <c r="AZ654" s="108"/>
      <c r="BA654" s="108"/>
      <c r="BB654" s="108"/>
      <c r="BC654" s="108"/>
      <c r="BD654" s="108"/>
      <c r="BE654" s="108"/>
      <c r="BF654" s="108"/>
      <c r="BG654" s="108"/>
      <c r="BH654" s="108"/>
      <c r="BI654" s="108"/>
      <c r="BJ654" s="108"/>
      <c r="BK654" s="108"/>
      <c r="BL654" s="108"/>
      <c r="BM654" s="108"/>
      <c r="BN654" s="108"/>
      <c r="BO654" s="108"/>
      <c r="BP654" s="108"/>
      <c r="BQ654" s="108"/>
      <c r="BR654" s="108"/>
      <c r="BS654" s="108"/>
      <c r="BT654" s="108"/>
      <c r="BU654" s="108"/>
      <c r="BV654" s="108"/>
      <c r="BW654" s="108"/>
      <c r="BX654" s="108"/>
      <c r="BY654" s="108"/>
      <c r="BZ654" s="108"/>
      <c r="CA654" s="108"/>
      <c r="CB654" s="108"/>
      <c r="CC654" s="108"/>
      <c r="CD654" s="108"/>
      <c r="CE654" s="108"/>
      <c r="CF654" s="108"/>
      <c r="CG654" s="108"/>
      <c r="CH654" s="108"/>
      <c r="CI654" s="108"/>
      <c r="CJ654" s="108"/>
      <c r="CK654" s="108"/>
      <c r="CL654" s="108"/>
      <c r="CM654" s="108"/>
      <c r="CN654" s="110"/>
      <c r="CO654" s="111"/>
      <c r="CP654" s="110"/>
      <c r="CQ654" s="111"/>
      <c r="CR654" s="110"/>
      <c r="CS654" s="111"/>
      <c r="CT654" s="112">
        <f t="shared" si="168"/>
        <v>0</v>
      </c>
      <c r="CU654" s="113"/>
      <c r="CV654" s="114"/>
      <c r="CW654" s="115"/>
      <c r="CX654" s="116"/>
      <c r="CY654" s="117"/>
      <c r="CZ654" s="116"/>
      <c r="DA654" s="113"/>
      <c r="DB654" s="114"/>
      <c r="DC654" s="64"/>
      <c r="DD654" s="118"/>
    </row>
    <row r="655" spans="1:108" ht="22.5" outlineLevel="2">
      <c r="A655" s="178">
        <v>40485</v>
      </c>
      <c r="B655" s="164" t="s">
        <v>580</v>
      </c>
      <c r="C655" s="164" t="s">
        <v>1192</v>
      </c>
      <c r="D655" s="166" t="s">
        <v>1262</v>
      </c>
      <c r="E655" s="163"/>
      <c r="F655" s="105"/>
      <c r="G655" s="105"/>
      <c r="H655" s="105">
        <v>8305</v>
      </c>
      <c r="I655" s="105">
        <v>1661</v>
      </c>
      <c r="J655" s="105"/>
      <c r="K655" s="105">
        <v>34</v>
      </c>
      <c r="L655" s="105"/>
      <c r="M655" s="105"/>
      <c r="N655" s="105"/>
      <c r="O655" s="105"/>
      <c r="P655" s="105"/>
      <c r="Q655" s="105"/>
      <c r="R655" s="105"/>
      <c r="S655" s="105"/>
      <c r="T655" s="106"/>
      <c r="U655" s="130"/>
      <c r="V655" s="1"/>
      <c r="W655" s="68">
        <f t="shared" si="163"/>
        <v>0</v>
      </c>
      <c r="X655" s="68">
        <f t="shared" si="164"/>
        <v>0</v>
      </c>
      <c r="Y655" s="68">
        <f t="shared" si="165"/>
        <v>0</v>
      </c>
      <c r="Z655" s="68">
        <f t="shared" si="166"/>
        <v>0</v>
      </c>
      <c r="AA655" s="68"/>
      <c r="AB655" s="68">
        <v>0</v>
      </c>
      <c r="AC655" s="69">
        <f t="shared" si="167"/>
        <v>0</v>
      </c>
      <c r="AD655" s="70">
        <v>42725000</v>
      </c>
      <c r="AE655" s="63">
        <v>40500</v>
      </c>
      <c r="AF655" s="72"/>
      <c r="AG655" s="63" t="s">
        <v>954</v>
      </c>
      <c r="AH655" s="23" t="s">
        <v>955</v>
      </c>
      <c r="AI655" s="60"/>
      <c r="AJ655" s="124" t="s">
        <v>1476</v>
      </c>
      <c r="AK655" s="121" t="s">
        <v>1960</v>
      </c>
      <c r="AL655" s="107"/>
      <c r="AM655" s="108"/>
      <c r="AN655" s="109"/>
      <c r="AO655" s="108"/>
      <c r="AP655" s="108"/>
      <c r="AQ655" s="108"/>
      <c r="AR655" s="108"/>
      <c r="AS655" s="108"/>
      <c r="AT655" s="108"/>
      <c r="AU655" s="108"/>
      <c r="AV655" s="108"/>
      <c r="AW655" s="108"/>
      <c r="AX655" s="108"/>
      <c r="AY655" s="108"/>
      <c r="AZ655" s="108"/>
      <c r="BA655" s="108"/>
      <c r="BB655" s="108"/>
      <c r="BC655" s="108"/>
      <c r="BD655" s="108"/>
      <c r="BE655" s="108"/>
      <c r="BF655" s="108"/>
      <c r="BG655" s="108"/>
      <c r="BH655" s="108"/>
      <c r="BI655" s="108"/>
      <c r="BJ655" s="108"/>
      <c r="BK655" s="108"/>
      <c r="BL655" s="108"/>
      <c r="BM655" s="108"/>
      <c r="BN655" s="108"/>
      <c r="BO655" s="108"/>
      <c r="BP655" s="108"/>
      <c r="BQ655" s="108"/>
      <c r="BR655" s="108"/>
      <c r="BS655" s="108"/>
      <c r="BT655" s="108"/>
      <c r="BU655" s="108"/>
      <c r="BV655" s="108"/>
      <c r="BW655" s="108"/>
      <c r="BX655" s="108"/>
      <c r="BY655" s="108"/>
      <c r="BZ655" s="108"/>
      <c r="CA655" s="108"/>
      <c r="CB655" s="108"/>
      <c r="CC655" s="108"/>
      <c r="CD655" s="108"/>
      <c r="CE655" s="108"/>
      <c r="CF655" s="108"/>
      <c r="CG655" s="108"/>
      <c r="CH655" s="108"/>
      <c r="CI655" s="108"/>
      <c r="CJ655" s="108"/>
      <c r="CK655" s="108"/>
      <c r="CL655" s="108"/>
      <c r="CM655" s="108"/>
      <c r="CN655" s="110"/>
      <c r="CO655" s="111"/>
      <c r="CP655" s="110"/>
      <c r="CQ655" s="111"/>
      <c r="CR655" s="110"/>
      <c r="CS655" s="111"/>
      <c r="CT655" s="112">
        <f t="shared" si="168"/>
        <v>0</v>
      </c>
      <c r="CU655" s="113"/>
      <c r="CV655" s="114"/>
      <c r="CW655" s="115"/>
      <c r="CX655" s="116"/>
      <c r="CY655" s="117"/>
      <c r="CZ655" s="116"/>
      <c r="DA655" s="113"/>
      <c r="DB655" s="114"/>
      <c r="DC655" s="64"/>
      <c r="DD655" s="118"/>
    </row>
    <row r="656" spans="1:108" ht="84" outlineLevel="2">
      <c r="A656" s="178">
        <v>40485</v>
      </c>
      <c r="B656" s="164" t="s">
        <v>580</v>
      </c>
      <c r="C656" s="164" t="s">
        <v>1653</v>
      </c>
      <c r="D656" s="166" t="s">
        <v>1262</v>
      </c>
      <c r="E656" s="163"/>
      <c r="F656" s="105"/>
      <c r="G656" s="105"/>
      <c r="H656" s="105">
        <v>4400</v>
      </c>
      <c r="I656" s="105">
        <v>880</v>
      </c>
      <c r="J656" s="105"/>
      <c r="K656" s="105">
        <v>880</v>
      </c>
      <c r="L656" s="105"/>
      <c r="M656" s="105"/>
      <c r="N656" s="105"/>
      <c r="O656" s="105"/>
      <c r="P656" s="105"/>
      <c r="Q656" s="105"/>
      <c r="R656" s="105"/>
      <c r="S656" s="105"/>
      <c r="T656" s="106"/>
      <c r="U656" s="130"/>
      <c r="V656" s="1"/>
      <c r="W656" s="68">
        <f t="shared" si="163"/>
        <v>0</v>
      </c>
      <c r="X656" s="68">
        <f t="shared" si="164"/>
        <v>0</v>
      </c>
      <c r="Y656" s="68">
        <f t="shared" si="165"/>
        <v>0</v>
      </c>
      <c r="Z656" s="68">
        <f t="shared" si="166"/>
        <v>0</v>
      </c>
      <c r="AA656" s="68"/>
      <c r="AB656" s="68">
        <v>0</v>
      </c>
      <c r="AC656" s="69">
        <f t="shared" si="167"/>
        <v>0</v>
      </c>
      <c r="AD656" s="70">
        <v>74800000</v>
      </c>
      <c r="AE656" s="63">
        <v>40484</v>
      </c>
      <c r="AF656" s="72"/>
      <c r="AG656" s="63" t="s">
        <v>954</v>
      </c>
      <c r="AH656" s="23" t="s">
        <v>955</v>
      </c>
      <c r="AI656" s="83"/>
      <c r="AJ656" s="133" t="s">
        <v>415</v>
      </c>
      <c r="AK656" s="185" t="s">
        <v>1033</v>
      </c>
      <c r="AL656" s="123"/>
      <c r="AM656" s="108"/>
      <c r="AN656" s="109"/>
      <c r="AO656" s="108"/>
      <c r="AP656" s="108"/>
      <c r="AQ656" s="108"/>
      <c r="AR656" s="108"/>
      <c r="AS656" s="108"/>
      <c r="AT656" s="108"/>
      <c r="AU656" s="108"/>
      <c r="AV656" s="108"/>
      <c r="AW656" s="108"/>
      <c r="AX656" s="108"/>
      <c r="AY656" s="108"/>
      <c r="AZ656" s="108"/>
      <c r="BA656" s="108"/>
      <c r="BB656" s="108"/>
      <c r="BC656" s="108"/>
      <c r="BD656" s="108"/>
      <c r="BE656" s="108"/>
      <c r="BF656" s="108"/>
      <c r="BG656" s="108"/>
      <c r="BH656" s="108"/>
      <c r="BI656" s="108"/>
      <c r="BJ656" s="108"/>
      <c r="BK656" s="108"/>
      <c r="BL656" s="108"/>
      <c r="BM656" s="108"/>
      <c r="BN656" s="108"/>
      <c r="BO656" s="108"/>
      <c r="BP656" s="108"/>
      <c r="BQ656" s="108"/>
      <c r="BR656" s="108"/>
      <c r="BS656" s="108"/>
      <c r="BT656" s="108"/>
      <c r="BU656" s="108"/>
      <c r="BV656" s="108"/>
      <c r="BW656" s="108"/>
      <c r="BX656" s="108"/>
      <c r="BY656" s="108"/>
      <c r="BZ656" s="108"/>
      <c r="CA656" s="108"/>
      <c r="CB656" s="108"/>
      <c r="CC656" s="108"/>
      <c r="CD656" s="108"/>
      <c r="CE656" s="108"/>
      <c r="CF656" s="108"/>
      <c r="CG656" s="108"/>
      <c r="CH656" s="108"/>
      <c r="CI656" s="108"/>
      <c r="CJ656" s="108"/>
      <c r="CK656" s="108"/>
      <c r="CL656" s="108"/>
      <c r="CM656" s="108"/>
      <c r="CN656" s="110"/>
      <c r="CO656" s="111"/>
      <c r="CP656" s="110"/>
      <c r="CQ656" s="111"/>
      <c r="CR656" s="110"/>
      <c r="CS656" s="111"/>
      <c r="CT656" s="112">
        <f t="shared" si="168"/>
        <v>0</v>
      </c>
      <c r="CU656" s="113"/>
      <c r="CV656" s="114"/>
      <c r="CW656" s="115"/>
      <c r="CX656" s="116"/>
      <c r="CY656" s="117"/>
      <c r="CZ656" s="116"/>
      <c r="DA656" s="113"/>
      <c r="DB656" s="114"/>
      <c r="DC656" s="64"/>
      <c r="DD656" s="118">
        <v>1375</v>
      </c>
    </row>
    <row r="657" spans="1:108" ht="45" outlineLevel="2">
      <c r="A657" s="178">
        <v>40485</v>
      </c>
      <c r="B657" s="164" t="s">
        <v>580</v>
      </c>
      <c r="C657" s="164" t="s">
        <v>1218</v>
      </c>
      <c r="D657" s="166" t="s">
        <v>1262</v>
      </c>
      <c r="E657" s="163"/>
      <c r="F657" s="105"/>
      <c r="G657" s="105"/>
      <c r="H657" s="105">
        <v>1700</v>
      </c>
      <c r="I657" s="105">
        <v>870</v>
      </c>
      <c r="J657" s="105"/>
      <c r="K657" s="105">
        <v>870</v>
      </c>
      <c r="L657" s="105"/>
      <c r="M657" s="105"/>
      <c r="N657" s="105"/>
      <c r="O657" s="105"/>
      <c r="P657" s="105"/>
      <c r="Q657" s="105"/>
      <c r="R657" s="105"/>
      <c r="S657" s="105"/>
      <c r="T657" s="106"/>
      <c r="U657" s="130"/>
      <c r="V657" s="1"/>
      <c r="W657" s="68">
        <f t="shared" ref="W657:W673" si="169">CT657</f>
        <v>0</v>
      </c>
      <c r="X657" s="68">
        <f t="shared" ref="X657:X673" si="170">CX657</f>
        <v>0</v>
      </c>
      <c r="Y657" s="68">
        <f t="shared" ref="Y657:Y673" si="171">CZ657+DB657</f>
        <v>0</v>
      </c>
      <c r="Z657" s="68">
        <f t="shared" ref="Z657:Z673" si="172">CV657</f>
        <v>0</v>
      </c>
      <c r="AA657" s="68"/>
      <c r="AB657" s="68">
        <v>0</v>
      </c>
      <c r="AC657" s="69">
        <f t="shared" ref="AC657:AC673" si="173">W657+X657+Y657+Z657+AA657+AB657</f>
        <v>0</v>
      </c>
      <c r="AD657" s="70">
        <v>36975000</v>
      </c>
      <c r="AE657" s="63">
        <v>40487</v>
      </c>
      <c r="AF657" s="72"/>
      <c r="AG657" s="63" t="s">
        <v>954</v>
      </c>
      <c r="AH657" s="23" t="s">
        <v>955</v>
      </c>
      <c r="AI657" s="60"/>
      <c r="AJ657" s="133" t="s">
        <v>415</v>
      </c>
      <c r="AK657" s="121" t="s">
        <v>1603</v>
      </c>
      <c r="AL657" s="107"/>
      <c r="AM657" s="108"/>
      <c r="AN657" s="109"/>
      <c r="AO657" s="108"/>
      <c r="AP657" s="108"/>
      <c r="AQ657" s="108"/>
      <c r="AR657" s="108"/>
      <c r="AS657" s="108"/>
      <c r="AT657" s="108"/>
      <c r="AU657" s="108"/>
      <c r="AV657" s="108"/>
      <c r="AW657" s="108"/>
      <c r="AX657" s="108"/>
      <c r="AY657" s="108"/>
      <c r="AZ657" s="108"/>
      <c r="BA657" s="108"/>
      <c r="BB657" s="108"/>
      <c r="BC657" s="108"/>
      <c r="BD657" s="108"/>
      <c r="BE657" s="108"/>
      <c r="BF657" s="108"/>
      <c r="BG657" s="108"/>
      <c r="BH657" s="108"/>
      <c r="BI657" s="108"/>
      <c r="BJ657" s="108"/>
      <c r="BK657" s="108"/>
      <c r="BL657" s="108"/>
      <c r="BM657" s="108"/>
      <c r="BN657" s="108"/>
      <c r="BO657" s="108"/>
      <c r="BP657" s="108"/>
      <c r="BQ657" s="108"/>
      <c r="BR657" s="108"/>
      <c r="BS657" s="108"/>
      <c r="BT657" s="108"/>
      <c r="BU657" s="108"/>
      <c r="BV657" s="108"/>
      <c r="BW657" s="108"/>
      <c r="BX657" s="108"/>
      <c r="BY657" s="108"/>
      <c r="BZ657" s="108"/>
      <c r="CA657" s="108"/>
      <c r="CB657" s="108"/>
      <c r="CC657" s="108"/>
      <c r="CD657" s="108"/>
      <c r="CE657" s="108"/>
      <c r="CF657" s="108"/>
      <c r="CG657" s="108"/>
      <c r="CH657" s="108"/>
      <c r="CI657" s="108"/>
      <c r="CJ657" s="108"/>
      <c r="CK657" s="108"/>
      <c r="CL657" s="108"/>
      <c r="CM657" s="108"/>
      <c r="CN657" s="110"/>
      <c r="CO657" s="111"/>
      <c r="CP657" s="110"/>
      <c r="CQ657" s="111"/>
      <c r="CR657" s="110"/>
      <c r="CS657" s="111"/>
      <c r="CT657" s="112">
        <f t="shared" ref="CT657:CT673" si="174">AM657+AO657+AQ657+AS657+AU657+AW657+AY657+BA657+BC657+BE657+BG657+BI657+BK657+BM657+BO657+BQ657+BS657+BU657+BW657+BY657+CA657+CC657+CE657+CG657+CI657+CK657+CM657+CO657+CQ657+CS657</f>
        <v>0</v>
      </c>
      <c r="CU657" s="113"/>
      <c r="CV657" s="114"/>
      <c r="CW657" s="115"/>
      <c r="CX657" s="116"/>
      <c r="CY657" s="117"/>
      <c r="CZ657" s="116"/>
      <c r="DA657" s="113"/>
      <c r="DB657" s="114"/>
      <c r="DC657" s="64"/>
      <c r="DD657" s="118"/>
    </row>
    <row r="658" spans="1:108" ht="45" outlineLevel="2">
      <c r="A658" s="178">
        <v>40485</v>
      </c>
      <c r="B658" s="164" t="s">
        <v>580</v>
      </c>
      <c r="C658" s="164" t="s">
        <v>1655</v>
      </c>
      <c r="D658" s="166" t="s">
        <v>1262</v>
      </c>
      <c r="E658" s="163"/>
      <c r="F658" s="105"/>
      <c r="G658" s="105"/>
      <c r="H658" s="105">
        <f>415*5</f>
        <v>2075</v>
      </c>
      <c r="I658" s="105">
        <f>555-95-45</f>
        <v>415</v>
      </c>
      <c r="J658" s="105"/>
      <c r="K658" s="105"/>
      <c r="L658" s="105"/>
      <c r="M658" s="105"/>
      <c r="N658" s="105"/>
      <c r="O658" s="105"/>
      <c r="P658" s="105"/>
      <c r="Q658" s="105"/>
      <c r="R658" s="105"/>
      <c r="S658" s="105"/>
      <c r="T658" s="106"/>
      <c r="U658" s="130"/>
      <c r="V658" s="1"/>
      <c r="W658" s="68">
        <f t="shared" si="169"/>
        <v>0</v>
      </c>
      <c r="X658" s="68">
        <f t="shared" si="170"/>
        <v>0</v>
      </c>
      <c r="Y658" s="68">
        <f t="shared" si="171"/>
        <v>0</v>
      </c>
      <c r="Z658" s="68">
        <f t="shared" si="172"/>
        <v>0</v>
      </c>
      <c r="AA658" s="68"/>
      <c r="AB658" s="68">
        <v>0</v>
      </c>
      <c r="AC658" s="69">
        <f t="shared" si="173"/>
        <v>0</v>
      </c>
      <c r="AD658" s="70">
        <v>25500000</v>
      </c>
      <c r="AE658" s="63">
        <v>40492</v>
      </c>
      <c r="AF658" s="72"/>
      <c r="AG658" s="63" t="s">
        <v>954</v>
      </c>
      <c r="AH658" s="23" t="s">
        <v>955</v>
      </c>
      <c r="AI658" s="60"/>
      <c r="AJ658" s="133" t="s">
        <v>415</v>
      </c>
      <c r="AK658" s="121" t="s">
        <v>508</v>
      </c>
      <c r="AL658" s="107"/>
      <c r="AM658" s="108"/>
      <c r="AN658" s="109"/>
      <c r="AO658" s="108"/>
      <c r="AP658" s="108"/>
      <c r="AQ658" s="108"/>
      <c r="AR658" s="108"/>
      <c r="AS658" s="108"/>
      <c r="AT658" s="108"/>
      <c r="AU658" s="108"/>
      <c r="AV658" s="108"/>
      <c r="AW658" s="108"/>
      <c r="AX658" s="108"/>
      <c r="AY658" s="108"/>
      <c r="AZ658" s="108"/>
      <c r="BA658" s="108"/>
      <c r="BB658" s="108"/>
      <c r="BC658" s="108"/>
      <c r="BD658" s="108"/>
      <c r="BE658" s="108"/>
      <c r="BF658" s="108"/>
      <c r="BG658" s="108"/>
      <c r="BH658" s="108"/>
      <c r="BI658" s="108"/>
      <c r="BJ658" s="108"/>
      <c r="BK658" s="108"/>
      <c r="BL658" s="108"/>
      <c r="BM658" s="108"/>
      <c r="BN658" s="108"/>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08"/>
      <c r="CM658" s="108"/>
      <c r="CN658" s="110"/>
      <c r="CO658" s="111"/>
      <c r="CP658" s="110"/>
      <c r="CQ658" s="111"/>
      <c r="CR658" s="110"/>
      <c r="CS658" s="111"/>
      <c r="CT658" s="112">
        <f t="shared" si="174"/>
        <v>0</v>
      </c>
      <c r="CU658" s="113"/>
      <c r="CV658" s="114"/>
      <c r="CW658" s="115"/>
      <c r="CX658" s="116"/>
      <c r="CY658" s="117"/>
      <c r="CZ658" s="116"/>
      <c r="DA658" s="113"/>
      <c r="DB658" s="114"/>
      <c r="DC658" s="64"/>
      <c r="DD658" s="118"/>
    </row>
    <row r="659" spans="1:108" ht="45" outlineLevel="2">
      <c r="A659" s="178">
        <v>40485</v>
      </c>
      <c r="B659" s="164" t="s">
        <v>580</v>
      </c>
      <c r="C659" s="164" t="s">
        <v>509</v>
      </c>
      <c r="D659" s="166" t="s">
        <v>1262</v>
      </c>
      <c r="E659" s="163"/>
      <c r="F659" s="105"/>
      <c r="G659" s="105"/>
      <c r="H659" s="105">
        <v>2980</v>
      </c>
      <c r="I659" s="105">
        <v>600</v>
      </c>
      <c r="J659" s="105"/>
      <c r="K659" s="105">
        <v>600</v>
      </c>
      <c r="L659" s="105"/>
      <c r="M659" s="105"/>
      <c r="N659" s="105"/>
      <c r="O659" s="105"/>
      <c r="P659" s="105"/>
      <c r="Q659" s="105"/>
      <c r="R659" s="105"/>
      <c r="S659" s="105"/>
      <c r="T659" s="106"/>
      <c r="U659" s="130"/>
      <c r="V659" s="1"/>
      <c r="W659" s="68">
        <f t="shared" si="169"/>
        <v>0</v>
      </c>
      <c r="X659" s="68">
        <f t="shared" si="170"/>
        <v>0</v>
      </c>
      <c r="Y659" s="68">
        <f t="shared" si="171"/>
        <v>0</v>
      </c>
      <c r="Z659" s="68">
        <f t="shared" si="172"/>
        <v>0</v>
      </c>
      <c r="AA659" s="68"/>
      <c r="AB659" s="68">
        <v>0</v>
      </c>
      <c r="AC659" s="69">
        <f t="shared" si="173"/>
        <v>0</v>
      </c>
      <c r="AD659" s="70">
        <v>25500000</v>
      </c>
      <c r="AE659" s="63">
        <v>40492</v>
      </c>
      <c r="AF659" s="72"/>
      <c r="AG659" s="63" t="s">
        <v>954</v>
      </c>
      <c r="AH659" s="23" t="s">
        <v>955</v>
      </c>
      <c r="AI659" s="60"/>
      <c r="AJ659" s="133" t="s">
        <v>415</v>
      </c>
      <c r="AK659" s="121" t="s">
        <v>510</v>
      </c>
      <c r="AL659" s="107"/>
      <c r="AM659" s="108"/>
      <c r="AN659" s="109"/>
      <c r="AO659" s="108"/>
      <c r="AP659" s="108"/>
      <c r="AQ659" s="108"/>
      <c r="AR659" s="108"/>
      <c r="AS659" s="108"/>
      <c r="AT659" s="108"/>
      <c r="AU659" s="108"/>
      <c r="AV659" s="108"/>
      <c r="AW659" s="108"/>
      <c r="AX659" s="108"/>
      <c r="AY659" s="108"/>
      <c r="AZ659" s="108"/>
      <c r="BA659" s="108"/>
      <c r="BB659" s="108"/>
      <c r="BC659" s="108"/>
      <c r="BD659" s="108"/>
      <c r="BE659" s="108"/>
      <c r="BF659" s="108"/>
      <c r="BG659" s="108"/>
      <c r="BH659" s="108"/>
      <c r="BI659" s="108"/>
      <c r="BJ659" s="108"/>
      <c r="BK659" s="108"/>
      <c r="BL659" s="108"/>
      <c r="BM659" s="108"/>
      <c r="BN659" s="108"/>
      <c r="BO659" s="108"/>
      <c r="BP659" s="108"/>
      <c r="BQ659" s="108"/>
      <c r="BR659" s="108"/>
      <c r="BS659" s="108"/>
      <c r="BT659" s="108"/>
      <c r="BU659" s="108"/>
      <c r="BV659" s="108"/>
      <c r="BW659" s="108"/>
      <c r="BX659" s="108"/>
      <c r="BY659" s="108"/>
      <c r="BZ659" s="108"/>
      <c r="CA659" s="108"/>
      <c r="CB659" s="108"/>
      <c r="CC659" s="108"/>
      <c r="CD659" s="108"/>
      <c r="CE659" s="108"/>
      <c r="CF659" s="108"/>
      <c r="CG659" s="108"/>
      <c r="CH659" s="108"/>
      <c r="CI659" s="108"/>
      <c r="CJ659" s="108"/>
      <c r="CK659" s="108"/>
      <c r="CL659" s="108"/>
      <c r="CM659" s="108"/>
      <c r="CN659" s="110"/>
      <c r="CO659" s="111"/>
      <c r="CP659" s="110"/>
      <c r="CQ659" s="111"/>
      <c r="CR659" s="110"/>
      <c r="CS659" s="111"/>
      <c r="CT659" s="112">
        <f t="shared" si="174"/>
        <v>0</v>
      </c>
      <c r="CU659" s="113"/>
      <c r="CV659" s="114"/>
      <c r="CW659" s="115"/>
      <c r="CX659" s="116"/>
      <c r="CY659" s="117"/>
      <c r="CZ659" s="116"/>
      <c r="DA659" s="113"/>
      <c r="DB659" s="114"/>
      <c r="DC659" s="64"/>
      <c r="DD659" s="118"/>
    </row>
    <row r="660" spans="1:108" s="119" customFormat="1" ht="24" outlineLevel="2">
      <c r="A660" s="178">
        <v>40490</v>
      </c>
      <c r="B660" s="164" t="s">
        <v>580</v>
      </c>
      <c r="C660" s="164" t="s">
        <v>1025</v>
      </c>
      <c r="D660" s="166" t="s">
        <v>1262</v>
      </c>
      <c r="E660" s="163">
        <v>1</v>
      </c>
      <c r="F660" s="105"/>
      <c r="G660" s="105"/>
      <c r="H660" s="105"/>
      <c r="I660" s="105"/>
      <c r="J660" s="105"/>
      <c r="K660" s="105"/>
      <c r="L660" s="105"/>
      <c r="M660" s="105"/>
      <c r="N660" s="105"/>
      <c r="O660" s="105"/>
      <c r="P660" s="105"/>
      <c r="Q660" s="105"/>
      <c r="R660" s="105"/>
      <c r="S660" s="105"/>
      <c r="T660" s="106"/>
      <c r="U660" s="130"/>
      <c r="V660" s="1"/>
      <c r="W660" s="68">
        <f t="shared" si="169"/>
        <v>0</v>
      </c>
      <c r="X660" s="68">
        <f t="shared" si="170"/>
        <v>0</v>
      </c>
      <c r="Y660" s="68">
        <f t="shared" si="171"/>
        <v>0</v>
      </c>
      <c r="Z660" s="68">
        <f t="shared" si="172"/>
        <v>0</v>
      </c>
      <c r="AA660" s="68"/>
      <c r="AB660" s="68">
        <v>0</v>
      </c>
      <c r="AC660" s="69">
        <f t="shared" si="173"/>
        <v>0</v>
      </c>
      <c r="AD660" s="70">
        <v>0</v>
      </c>
      <c r="AE660" s="63">
        <v>40492</v>
      </c>
      <c r="AF660" s="72"/>
      <c r="AG660" s="63" t="s">
        <v>938</v>
      </c>
      <c r="AH660" s="23" t="s">
        <v>939</v>
      </c>
      <c r="AI660" s="60"/>
      <c r="AJ660" s="124" t="s">
        <v>1608</v>
      </c>
      <c r="AK660" s="121" t="s">
        <v>506</v>
      </c>
      <c r="AL660" s="107"/>
      <c r="AM660" s="108"/>
      <c r="AN660" s="109"/>
      <c r="AO660" s="108"/>
      <c r="AP660" s="108"/>
      <c r="AQ660" s="108"/>
      <c r="AR660" s="108"/>
      <c r="AS660" s="108"/>
      <c r="AT660" s="108"/>
      <c r="AU660" s="108"/>
      <c r="AV660" s="108"/>
      <c r="AW660" s="108"/>
      <c r="AX660" s="108"/>
      <c r="AY660" s="108"/>
      <c r="AZ660" s="108"/>
      <c r="BA660" s="108"/>
      <c r="BB660" s="108"/>
      <c r="BC660" s="108"/>
      <c r="BD660" s="108"/>
      <c r="BE660" s="108"/>
      <c r="BF660" s="108"/>
      <c r="BG660" s="108"/>
      <c r="BH660" s="108"/>
      <c r="BI660" s="108"/>
      <c r="BJ660" s="108"/>
      <c r="BK660" s="108"/>
      <c r="BL660" s="108"/>
      <c r="BM660" s="108"/>
      <c r="BN660" s="108"/>
      <c r="BO660" s="108"/>
      <c r="BP660" s="108"/>
      <c r="BQ660" s="108"/>
      <c r="BR660" s="108"/>
      <c r="BS660" s="108"/>
      <c r="BT660" s="108"/>
      <c r="BU660" s="108"/>
      <c r="BV660" s="108"/>
      <c r="BW660" s="108"/>
      <c r="BX660" s="108"/>
      <c r="BY660" s="108"/>
      <c r="BZ660" s="108"/>
      <c r="CA660" s="108"/>
      <c r="CB660" s="108"/>
      <c r="CC660" s="108"/>
      <c r="CD660" s="108"/>
      <c r="CE660" s="108"/>
      <c r="CF660" s="108"/>
      <c r="CG660" s="108"/>
      <c r="CH660" s="108"/>
      <c r="CI660" s="108"/>
      <c r="CJ660" s="108"/>
      <c r="CK660" s="108"/>
      <c r="CL660" s="108"/>
      <c r="CM660" s="108"/>
      <c r="CN660" s="110"/>
      <c r="CO660" s="111"/>
      <c r="CP660" s="110"/>
      <c r="CQ660" s="111"/>
      <c r="CR660" s="110"/>
      <c r="CS660" s="111"/>
      <c r="CT660" s="112">
        <f t="shared" si="174"/>
        <v>0</v>
      </c>
      <c r="CU660" s="113"/>
      <c r="CV660" s="114"/>
      <c r="CW660" s="115"/>
      <c r="CX660" s="116"/>
      <c r="CY660" s="117"/>
      <c r="CZ660" s="116"/>
      <c r="DA660" s="113"/>
      <c r="DB660" s="114"/>
      <c r="DC660" s="64"/>
      <c r="DD660" s="118"/>
    </row>
    <row r="661" spans="1:108" s="119" customFormat="1" ht="22.5" outlineLevel="2">
      <c r="A661" s="178">
        <v>40491</v>
      </c>
      <c r="B661" s="164" t="s">
        <v>580</v>
      </c>
      <c r="C661" s="164" t="s">
        <v>266</v>
      </c>
      <c r="D661" s="166" t="s">
        <v>1262</v>
      </c>
      <c r="E661" s="163"/>
      <c r="F661" s="105"/>
      <c r="G661" s="105"/>
      <c r="H661" s="105">
        <v>3922</v>
      </c>
      <c r="I661" s="105">
        <v>1024</v>
      </c>
      <c r="J661" s="105"/>
      <c r="K661" s="105">
        <v>1024</v>
      </c>
      <c r="L661" s="105"/>
      <c r="M661" s="105"/>
      <c r="N661" s="105"/>
      <c r="O661" s="105"/>
      <c r="P661" s="105"/>
      <c r="Q661" s="105"/>
      <c r="R661" s="105"/>
      <c r="S661" s="105"/>
      <c r="T661" s="106"/>
      <c r="U661" s="130"/>
      <c r="V661" s="1"/>
      <c r="W661" s="68">
        <f t="shared" si="169"/>
        <v>0</v>
      </c>
      <c r="X661" s="68">
        <f t="shared" si="170"/>
        <v>0</v>
      </c>
      <c r="Y661" s="68">
        <f t="shared" si="171"/>
        <v>0</v>
      </c>
      <c r="Z661" s="68">
        <f t="shared" si="172"/>
        <v>0</v>
      </c>
      <c r="AA661" s="68"/>
      <c r="AB661" s="68">
        <v>0</v>
      </c>
      <c r="AC661" s="69">
        <f t="shared" si="173"/>
        <v>0</v>
      </c>
      <c r="AD661" s="70">
        <v>53350000</v>
      </c>
      <c r="AE661" s="63">
        <v>40500</v>
      </c>
      <c r="AF661" s="72"/>
      <c r="AG661" s="63" t="s">
        <v>954</v>
      </c>
      <c r="AH661" s="23" t="s">
        <v>955</v>
      </c>
      <c r="AI661" s="60"/>
      <c r="AJ661" s="124" t="s">
        <v>1476</v>
      </c>
      <c r="AK661" s="121" t="s">
        <v>1960</v>
      </c>
      <c r="AL661" s="107"/>
      <c r="AM661" s="108"/>
      <c r="AN661" s="109"/>
      <c r="AO661" s="108"/>
      <c r="AP661" s="108"/>
      <c r="AQ661" s="108"/>
      <c r="AR661" s="108"/>
      <c r="AS661" s="108"/>
      <c r="AT661" s="108"/>
      <c r="AU661" s="108"/>
      <c r="AV661" s="108"/>
      <c r="AW661" s="108"/>
      <c r="AX661" s="108"/>
      <c r="AY661" s="108"/>
      <c r="AZ661" s="108"/>
      <c r="BA661" s="108"/>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8"/>
      <c r="CB661" s="108"/>
      <c r="CC661" s="108"/>
      <c r="CD661" s="108"/>
      <c r="CE661" s="108"/>
      <c r="CF661" s="108"/>
      <c r="CG661" s="108"/>
      <c r="CH661" s="108"/>
      <c r="CI661" s="108"/>
      <c r="CJ661" s="108"/>
      <c r="CK661" s="108"/>
      <c r="CL661" s="108"/>
      <c r="CM661" s="108"/>
      <c r="CN661" s="110"/>
      <c r="CO661" s="111"/>
      <c r="CP661" s="110"/>
      <c r="CQ661" s="111"/>
      <c r="CR661" s="110"/>
      <c r="CS661" s="111"/>
      <c r="CT661" s="112">
        <f t="shared" si="174"/>
        <v>0</v>
      </c>
      <c r="CU661" s="113"/>
      <c r="CV661" s="114"/>
      <c r="CW661" s="115"/>
      <c r="CX661" s="116"/>
      <c r="CY661" s="117"/>
      <c r="CZ661" s="116"/>
      <c r="DA661" s="113"/>
      <c r="DB661" s="114"/>
      <c r="DC661" s="64"/>
      <c r="DD661" s="118"/>
    </row>
    <row r="662" spans="1:108" s="119" customFormat="1" ht="22.5" outlineLevel="2">
      <c r="A662" s="178">
        <v>40491</v>
      </c>
      <c r="B662" s="164" t="s">
        <v>580</v>
      </c>
      <c r="C662" s="164" t="s">
        <v>2062</v>
      </c>
      <c r="D662" s="166" t="s">
        <v>1262</v>
      </c>
      <c r="E662" s="163"/>
      <c r="F662" s="105"/>
      <c r="G662" s="105"/>
      <c r="H662" s="105">
        <v>3000</v>
      </c>
      <c r="I662" s="105">
        <v>600</v>
      </c>
      <c r="J662" s="105"/>
      <c r="K662" s="105">
        <v>600</v>
      </c>
      <c r="L662" s="105"/>
      <c r="M662" s="105"/>
      <c r="N662" s="105"/>
      <c r="O662" s="105"/>
      <c r="P662" s="105"/>
      <c r="Q662" s="105"/>
      <c r="R662" s="105"/>
      <c r="S662" s="105"/>
      <c r="T662" s="106"/>
      <c r="U662" s="130"/>
      <c r="V662" s="1"/>
      <c r="W662" s="68">
        <f t="shared" si="169"/>
        <v>0</v>
      </c>
      <c r="X662" s="68">
        <f t="shared" si="170"/>
        <v>0</v>
      </c>
      <c r="Y662" s="68">
        <f t="shared" si="171"/>
        <v>0</v>
      </c>
      <c r="Z662" s="68">
        <f t="shared" si="172"/>
        <v>0</v>
      </c>
      <c r="AA662" s="68"/>
      <c r="AB662" s="68">
        <v>0</v>
      </c>
      <c r="AC662" s="69">
        <f t="shared" si="173"/>
        <v>0</v>
      </c>
      <c r="AD662" s="70">
        <v>27850000</v>
      </c>
      <c r="AE662" s="63">
        <v>40500</v>
      </c>
      <c r="AF662" s="72"/>
      <c r="AG662" s="63" t="s">
        <v>954</v>
      </c>
      <c r="AH662" s="23" t="s">
        <v>955</v>
      </c>
      <c r="AI662" s="60"/>
      <c r="AJ662" s="124" t="s">
        <v>1476</v>
      </c>
      <c r="AK662" s="121" t="s">
        <v>1960</v>
      </c>
      <c r="AL662" s="107"/>
      <c r="AM662" s="108"/>
      <c r="AN662" s="109"/>
      <c r="AO662" s="108"/>
      <c r="AP662" s="108"/>
      <c r="AQ662" s="108"/>
      <c r="AR662" s="108"/>
      <c r="AS662" s="108"/>
      <c r="AT662" s="108"/>
      <c r="AU662" s="108"/>
      <c r="AV662" s="108"/>
      <c r="AW662" s="108"/>
      <c r="AX662" s="108"/>
      <c r="AY662" s="108"/>
      <c r="AZ662" s="108"/>
      <c r="BA662" s="108"/>
      <c r="BB662" s="108"/>
      <c r="BC662" s="108"/>
      <c r="BD662" s="108"/>
      <c r="BE662" s="108"/>
      <c r="BF662" s="108"/>
      <c r="BG662" s="108"/>
      <c r="BH662" s="108"/>
      <c r="BI662" s="108"/>
      <c r="BJ662" s="108"/>
      <c r="BK662" s="108"/>
      <c r="BL662" s="108"/>
      <c r="BM662" s="108"/>
      <c r="BN662" s="108"/>
      <c r="BO662" s="108"/>
      <c r="BP662" s="108"/>
      <c r="BQ662" s="108"/>
      <c r="BR662" s="108"/>
      <c r="BS662" s="108"/>
      <c r="BT662" s="108"/>
      <c r="BU662" s="108"/>
      <c r="BV662" s="108"/>
      <c r="BW662" s="108"/>
      <c r="BX662" s="108"/>
      <c r="BY662" s="108"/>
      <c r="BZ662" s="108"/>
      <c r="CA662" s="108"/>
      <c r="CB662" s="108"/>
      <c r="CC662" s="108"/>
      <c r="CD662" s="108"/>
      <c r="CE662" s="108"/>
      <c r="CF662" s="108"/>
      <c r="CG662" s="108"/>
      <c r="CH662" s="108"/>
      <c r="CI662" s="108"/>
      <c r="CJ662" s="108"/>
      <c r="CK662" s="108"/>
      <c r="CL662" s="108"/>
      <c r="CM662" s="108"/>
      <c r="CN662" s="110"/>
      <c r="CO662" s="111"/>
      <c r="CP662" s="110"/>
      <c r="CQ662" s="111"/>
      <c r="CR662" s="110"/>
      <c r="CS662" s="111"/>
      <c r="CT662" s="112">
        <f t="shared" si="174"/>
        <v>0</v>
      </c>
      <c r="CU662" s="113"/>
      <c r="CV662" s="114"/>
      <c r="CW662" s="115"/>
      <c r="CX662" s="116"/>
      <c r="CY662" s="117"/>
      <c r="CZ662" s="116"/>
      <c r="DA662" s="113"/>
      <c r="DB662" s="114"/>
      <c r="DC662" s="64"/>
      <c r="DD662" s="118"/>
    </row>
    <row r="663" spans="1:108" s="119" customFormat="1" ht="22.5" outlineLevel="2">
      <c r="A663" s="178">
        <v>40491</v>
      </c>
      <c r="B663" s="164" t="s">
        <v>580</v>
      </c>
      <c r="C663" s="164" t="s">
        <v>1219</v>
      </c>
      <c r="D663" s="166" t="s">
        <v>1262</v>
      </c>
      <c r="E663" s="163"/>
      <c r="F663" s="105"/>
      <c r="G663" s="105"/>
      <c r="H663" s="105">
        <v>5245</v>
      </c>
      <c r="I663" s="105">
        <v>1148</v>
      </c>
      <c r="J663" s="105"/>
      <c r="K663" s="105">
        <v>1148</v>
      </c>
      <c r="L663" s="105"/>
      <c r="M663" s="105"/>
      <c r="N663" s="105"/>
      <c r="O663" s="105"/>
      <c r="P663" s="105"/>
      <c r="Q663" s="105"/>
      <c r="R663" s="105"/>
      <c r="S663" s="105"/>
      <c r="T663" s="106"/>
      <c r="U663" s="130"/>
      <c r="V663" s="1"/>
      <c r="W663" s="68">
        <f t="shared" si="169"/>
        <v>0</v>
      </c>
      <c r="X663" s="68">
        <f t="shared" si="170"/>
        <v>0</v>
      </c>
      <c r="Y663" s="68">
        <f t="shared" si="171"/>
        <v>0</v>
      </c>
      <c r="Z663" s="68">
        <f t="shared" si="172"/>
        <v>0</v>
      </c>
      <c r="AA663" s="68"/>
      <c r="AB663" s="68">
        <v>0</v>
      </c>
      <c r="AC663" s="69">
        <f t="shared" si="173"/>
        <v>0</v>
      </c>
      <c r="AD663" s="70">
        <v>51000000</v>
      </c>
      <c r="AE663" s="63">
        <v>40500</v>
      </c>
      <c r="AF663" s="72"/>
      <c r="AG663" s="63" t="s">
        <v>954</v>
      </c>
      <c r="AH663" s="23" t="s">
        <v>955</v>
      </c>
      <c r="AI663" s="60"/>
      <c r="AJ663" s="124" t="s">
        <v>1476</v>
      </c>
      <c r="AK663" s="121" t="s">
        <v>1960</v>
      </c>
      <c r="AL663" s="107"/>
      <c r="AM663" s="108"/>
      <c r="AN663" s="109"/>
      <c r="AO663" s="108"/>
      <c r="AP663" s="108"/>
      <c r="AQ663" s="108"/>
      <c r="AR663" s="108"/>
      <c r="AS663" s="108"/>
      <c r="AT663" s="108"/>
      <c r="AU663" s="108"/>
      <c r="AV663" s="108"/>
      <c r="AW663" s="108"/>
      <c r="AX663" s="108"/>
      <c r="AY663" s="108"/>
      <c r="AZ663" s="108"/>
      <c r="BA663" s="108"/>
      <c r="BB663" s="108"/>
      <c r="BC663" s="108"/>
      <c r="BD663" s="108"/>
      <c r="BE663" s="108"/>
      <c r="BF663" s="108"/>
      <c r="BG663" s="108"/>
      <c r="BH663" s="108"/>
      <c r="BI663" s="108"/>
      <c r="BJ663" s="108"/>
      <c r="BK663" s="108"/>
      <c r="BL663" s="108"/>
      <c r="BM663" s="108"/>
      <c r="BN663" s="108"/>
      <c r="BO663" s="108"/>
      <c r="BP663" s="108"/>
      <c r="BQ663" s="108"/>
      <c r="BR663" s="108"/>
      <c r="BS663" s="108"/>
      <c r="BT663" s="108"/>
      <c r="BU663" s="108"/>
      <c r="BV663" s="108"/>
      <c r="BW663" s="108"/>
      <c r="BX663" s="108"/>
      <c r="BY663" s="108"/>
      <c r="BZ663" s="108"/>
      <c r="CA663" s="108"/>
      <c r="CB663" s="108"/>
      <c r="CC663" s="108"/>
      <c r="CD663" s="108"/>
      <c r="CE663" s="108"/>
      <c r="CF663" s="108"/>
      <c r="CG663" s="108"/>
      <c r="CH663" s="108"/>
      <c r="CI663" s="108"/>
      <c r="CJ663" s="108"/>
      <c r="CK663" s="108"/>
      <c r="CL663" s="108"/>
      <c r="CM663" s="108"/>
      <c r="CN663" s="110"/>
      <c r="CO663" s="111"/>
      <c r="CP663" s="110"/>
      <c r="CQ663" s="111"/>
      <c r="CR663" s="110"/>
      <c r="CS663" s="111"/>
      <c r="CT663" s="112">
        <f t="shared" si="174"/>
        <v>0</v>
      </c>
      <c r="CU663" s="113"/>
      <c r="CV663" s="114"/>
      <c r="CW663" s="115"/>
      <c r="CX663" s="116"/>
      <c r="CY663" s="117"/>
      <c r="CZ663" s="116"/>
      <c r="DA663" s="113"/>
      <c r="DB663" s="114"/>
      <c r="DC663" s="64"/>
      <c r="DD663" s="118"/>
    </row>
    <row r="664" spans="1:108" s="119" customFormat="1" ht="24" outlineLevel="2">
      <c r="A664" s="178">
        <v>40498</v>
      </c>
      <c r="B664" s="164" t="s">
        <v>580</v>
      </c>
      <c r="C664" s="164" t="s">
        <v>616</v>
      </c>
      <c r="D664" s="166" t="s">
        <v>1262</v>
      </c>
      <c r="E664" s="163">
        <v>1</v>
      </c>
      <c r="F664" s="105"/>
      <c r="G664" s="105"/>
      <c r="H664" s="105"/>
      <c r="I664" s="105"/>
      <c r="J664" s="105"/>
      <c r="K664" s="105"/>
      <c r="L664" s="105"/>
      <c r="M664" s="105"/>
      <c r="N664" s="105"/>
      <c r="O664" s="105"/>
      <c r="P664" s="105"/>
      <c r="Q664" s="105"/>
      <c r="R664" s="105"/>
      <c r="S664" s="105"/>
      <c r="T664" s="106"/>
      <c r="U664" s="130"/>
      <c r="V664" s="1"/>
      <c r="W664" s="68">
        <f t="shared" si="169"/>
        <v>0</v>
      </c>
      <c r="X664" s="68">
        <f t="shared" si="170"/>
        <v>0</v>
      </c>
      <c r="Y664" s="68">
        <f t="shared" si="171"/>
        <v>0</v>
      </c>
      <c r="Z664" s="68">
        <f t="shared" si="172"/>
        <v>0</v>
      </c>
      <c r="AA664" s="68"/>
      <c r="AB664" s="68">
        <v>0</v>
      </c>
      <c r="AC664" s="69">
        <f t="shared" si="173"/>
        <v>0</v>
      </c>
      <c r="AD664" s="70">
        <v>0</v>
      </c>
      <c r="AE664" s="63">
        <v>40497</v>
      </c>
      <c r="AF664" s="72"/>
      <c r="AG664" s="63" t="s">
        <v>938</v>
      </c>
      <c r="AH664" s="23" t="s">
        <v>939</v>
      </c>
      <c r="AI664" s="60"/>
      <c r="AJ664" s="124" t="s">
        <v>1608</v>
      </c>
      <c r="AK664" s="121" t="s">
        <v>78</v>
      </c>
      <c r="AL664" s="107"/>
      <c r="AM664" s="108"/>
      <c r="AN664" s="109"/>
      <c r="AO664" s="108"/>
      <c r="AP664" s="108"/>
      <c r="AQ664" s="108"/>
      <c r="AR664" s="108"/>
      <c r="AS664" s="108"/>
      <c r="AT664" s="108"/>
      <c r="AU664" s="108"/>
      <c r="AV664" s="108"/>
      <c r="AW664" s="108"/>
      <c r="AX664" s="108"/>
      <c r="AY664" s="108"/>
      <c r="AZ664" s="108"/>
      <c r="BA664" s="108"/>
      <c r="BB664" s="108"/>
      <c r="BC664" s="108"/>
      <c r="BD664" s="108"/>
      <c r="BE664" s="108"/>
      <c r="BF664" s="108"/>
      <c r="BG664" s="108"/>
      <c r="BH664" s="108"/>
      <c r="BI664" s="108"/>
      <c r="BJ664" s="108"/>
      <c r="BK664" s="108"/>
      <c r="BL664" s="108"/>
      <c r="BM664" s="108"/>
      <c r="BN664" s="108"/>
      <c r="BO664" s="108"/>
      <c r="BP664" s="108"/>
      <c r="BQ664" s="108"/>
      <c r="BR664" s="108"/>
      <c r="BS664" s="108"/>
      <c r="BT664" s="108"/>
      <c r="BU664" s="108"/>
      <c r="BV664" s="108"/>
      <c r="BW664" s="108"/>
      <c r="BX664" s="108"/>
      <c r="BY664" s="108"/>
      <c r="BZ664" s="108"/>
      <c r="CA664" s="108"/>
      <c r="CB664" s="108"/>
      <c r="CC664" s="108"/>
      <c r="CD664" s="108"/>
      <c r="CE664" s="108"/>
      <c r="CF664" s="108"/>
      <c r="CG664" s="108"/>
      <c r="CH664" s="108"/>
      <c r="CI664" s="108"/>
      <c r="CJ664" s="108"/>
      <c r="CK664" s="108"/>
      <c r="CL664" s="108"/>
      <c r="CM664" s="108"/>
      <c r="CN664" s="110"/>
      <c r="CO664" s="111"/>
      <c r="CP664" s="110"/>
      <c r="CQ664" s="111"/>
      <c r="CR664" s="110"/>
      <c r="CS664" s="111"/>
      <c r="CT664" s="112">
        <f t="shared" si="174"/>
        <v>0</v>
      </c>
      <c r="CU664" s="113"/>
      <c r="CV664" s="114"/>
      <c r="CW664" s="115"/>
      <c r="CX664" s="116"/>
      <c r="CY664" s="117"/>
      <c r="CZ664" s="116"/>
      <c r="DA664" s="113"/>
      <c r="DB664" s="114"/>
      <c r="DC664" s="64"/>
      <c r="DD664" s="118"/>
    </row>
    <row r="665" spans="1:108" s="119" customFormat="1" ht="36" outlineLevel="2">
      <c r="A665" s="178">
        <v>40499</v>
      </c>
      <c r="B665" s="164" t="s">
        <v>580</v>
      </c>
      <c r="C665" s="164" t="s">
        <v>1658</v>
      </c>
      <c r="D665" s="166" t="s">
        <v>1262</v>
      </c>
      <c r="E665" s="163">
        <v>1</v>
      </c>
      <c r="F665" s="105"/>
      <c r="G665" s="105"/>
      <c r="H665" s="105">
        <v>5</v>
      </c>
      <c r="I665" s="105">
        <v>1</v>
      </c>
      <c r="J665" s="105"/>
      <c r="K665" s="105">
        <v>1</v>
      </c>
      <c r="L665" s="105"/>
      <c r="M665" s="105"/>
      <c r="N665" s="105"/>
      <c r="O665" s="105"/>
      <c r="P665" s="105"/>
      <c r="Q665" s="105"/>
      <c r="R665" s="105"/>
      <c r="S665" s="105"/>
      <c r="T665" s="106"/>
      <c r="U665" s="130"/>
      <c r="V665" s="1"/>
      <c r="W665" s="68">
        <f t="shared" si="169"/>
        <v>0</v>
      </c>
      <c r="X665" s="68">
        <f t="shared" si="170"/>
        <v>0</v>
      </c>
      <c r="Y665" s="68">
        <f t="shared" si="171"/>
        <v>0</v>
      </c>
      <c r="Z665" s="68">
        <f t="shared" si="172"/>
        <v>0</v>
      </c>
      <c r="AA665" s="68"/>
      <c r="AB665" s="68">
        <v>0</v>
      </c>
      <c r="AC665" s="69">
        <f t="shared" si="173"/>
        <v>0</v>
      </c>
      <c r="AD665" s="70">
        <v>0</v>
      </c>
      <c r="AE665" s="63">
        <v>40504</v>
      </c>
      <c r="AF665" s="72"/>
      <c r="AG665" s="63" t="s">
        <v>938</v>
      </c>
      <c r="AH665" s="23" t="s">
        <v>939</v>
      </c>
      <c r="AI665" s="60"/>
      <c r="AJ665" s="124" t="s">
        <v>1608</v>
      </c>
      <c r="AK665" s="121" t="s">
        <v>79</v>
      </c>
      <c r="AL665" s="107"/>
      <c r="AM665" s="108"/>
      <c r="AN665" s="109"/>
      <c r="AO665" s="108"/>
      <c r="AP665" s="108"/>
      <c r="AQ665" s="108"/>
      <c r="AR665" s="108"/>
      <c r="AS665" s="108"/>
      <c r="AT665" s="108"/>
      <c r="AU665" s="108"/>
      <c r="AV665" s="108"/>
      <c r="AW665" s="108"/>
      <c r="AX665" s="108"/>
      <c r="AY665" s="108"/>
      <c r="AZ665" s="108"/>
      <c r="BA665" s="108"/>
      <c r="BB665" s="108"/>
      <c r="BC665" s="108"/>
      <c r="BD665" s="108"/>
      <c r="BE665" s="108"/>
      <c r="BF665" s="108"/>
      <c r="BG665" s="108"/>
      <c r="BH665" s="108"/>
      <c r="BI665" s="108"/>
      <c r="BJ665" s="108"/>
      <c r="BK665" s="108"/>
      <c r="BL665" s="108"/>
      <c r="BM665" s="108"/>
      <c r="BN665" s="108"/>
      <c r="BO665" s="108"/>
      <c r="BP665" s="108"/>
      <c r="BQ665" s="108"/>
      <c r="BR665" s="108"/>
      <c r="BS665" s="108"/>
      <c r="BT665" s="108"/>
      <c r="BU665" s="108"/>
      <c r="BV665" s="108"/>
      <c r="BW665" s="108"/>
      <c r="BX665" s="108"/>
      <c r="BY665" s="108"/>
      <c r="BZ665" s="108"/>
      <c r="CA665" s="108"/>
      <c r="CB665" s="108"/>
      <c r="CC665" s="108"/>
      <c r="CD665" s="108"/>
      <c r="CE665" s="108"/>
      <c r="CF665" s="108"/>
      <c r="CG665" s="108"/>
      <c r="CH665" s="108"/>
      <c r="CI665" s="108"/>
      <c r="CJ665" s="108"/>
      <c r="CK665" s="108"/>
      <c r="CL665" s="108"/>
      <c r="CM665" s="108"/>
      <c r="CN665" s="110"/>
      <c r="CO665" s="111"/>
      <c r="CP665" s="110"/>
      <c r="CQ665" s="111"/>
      <c r="CR665" s="110"/>
      <c r="CS665" s="111"/>
      <c r="CT665" s="112">
        <f t="shared" si="174"/>
        <v>0</v>
      </c>
      <c r="CU665" s="113"/>
      <c r="CV665" s="114"/>
      <c r="CW665" s="115"/>
      <c r="CX665" s="116"/>
      <c r="CY665" s="117"/>
      <c r="CZ665" s="116"/>
      <c r="DA665" s="113"/>
      <c r="DB665" s="114"/>
      <c r="DC665" s="64"/>
      <c r="DD665" s="118"/>
    </row>
    <row r="666" spans="1:108" s="119" customFormat="1" ht="22.5" outlineLevel="2">
      <c r="A666" s="178">
        <v>40500</v>
      </c>
      <c r="B666" s="164" t="s">
        <v>580</v>
      </c>
      <c r="C666" s="164" t="s">
        <v>2081</v>
      </c>
      <c r="D666" s="166" t="s">
        <v>1262</v>
      </c>
      <c r="E666" s="163"/>
      <c r="F666" s="105"/>
      <c r="G666" s="105"/>
      <c r="H666" s="105">
        <v>2870</v>
      </c>
      <c r="I666" s="105">
        <v>593</v>
      </c>
      <c r="J666" s="105"/>
      <c r="K666" s="105">
        <v>65</v>
      </c>
      <c r="L666" s="105"/>
      <c r="M666" s="105"/>
      <c r="N666" s="105"/>
      <c r="O666" s="105"/>
      <c r="P666" s="105"/>
      <c r="Q666" s="105"/>
      <c r="R666" s="105"/>
      <c r="S666" s="105"/>
      <c r="T666" s="106"/>
      <c r="U666" s="130"/>
      <c r="V666" s="1"/>
      <c r="W666" s="68">
        <f t="shared" si="169"/>
        <v>0</v>
      </c>
      <c r="X666" s="68">
        <f t="shared" si="170"/>
        <v>0</v>
      </c>
      <c r="Y666" s="68">
        <f t="shared" si="171"/>
        <v>0</v>
      </c>
      <c r="Z666" s="68">
        <f t="shared" si="172"/>
        <v>0</v>
      </c>
      <c r="AA666" s="68"/>
      <c r="AB666" s="68">
        <v>0</v>
      </c>
      <c r="AC666" s="69">
        <f t="shared" si="173"/>
        <v>0</v>
      </c>
      <c r="AD666" s="70">
        <v>0</v>
      </c>
      <c r="AE666" s="63">
        <v>40512</v>
      </c>
      <c r="AF666" s="72"/>
      <c r="AG666" s="63" t="s">
        <v>938</v>
      </c>
      <c r="AH666" s="23" t="s">
        <v>939</v>
      </c>
      <c r="AI666" s="60"/>
      <c r="AJ666" s="124" t="s">
        <v>1608</v>
      </c>
      <c r="AK666" s="185"/>
      <c r="AL666" s="123"/>
      <c r="AM666" s="108"/>
      <c r="AN666" s="109"/>
      <c r="AO666" s="108"/>
      <c r="AP666" s="108"/>
      <c r="AQ666" s="108"/>
      <c r="AR666" s="108"/>
      <c r="AS666" s="108"/>
      <c r="AT666" s="108"/>
      <c r="AU666" s="108"/>
      <c r="AV666" s="108"/>
      <c r="AW666" s="108"/>
      <c r="AX666" s="108"/>
      <c r="AY666" s="108"/>
      <c r="AZ666" s="108"/>
      <c r="BA666" s="108"/>
      <c r="BB666" s="108"/>
      <c r="BC666" s="108"/>
      <c r="BD666" s="108"/>
      <c r="BE666" s="108"/>
      <c r="BF666" s="108"/>
      <c r="BG666" s="108"/>
      <c r="BH666" s="108"/>
      <c r="BI666" s="108"/>
      <c r="BJ666" s="108"/>
      <c r="BK666" s="108"/>
      <c r="BL666" s="108"/>
      <c r="BM666" s="108"/>
      <c r="BN666" s="108"/>
      <c r="BO666" s="108"/>
      <c r="BP666" s="108"/>
      <c r="BQ666" s="108"/>
      <c r="BR666" s="108"/>
      <c r="BS666" s="108"/>
      <c r="BT666" s="108"/>
      <c r="BU666" s="108"/>
      <c r="BV666" s="108"/>
      <c r="BW666" s="108"/>
      <c r="BX666" s="108"/>
      <c r="BY666" s="108"/>
      <c r="BZ666" s="108"/>
      <c r="CA666" s="108"/>
      <c r="CB666" s="108"/>
      <c r="CC666" s="108"/>
      <c r="CD666" s="108"/>
      <c r="CE666" s="108"/>
      <c r="CF666" s="108"/>
      <c r="CG666" s="108"/>
      <c r="CH666" s="108"/>
      <c r="CI666" s="108"/>
      <c r="CJ666" s="108"/>
      <c r="CK666" s="108"/>
      <c r="CL666" s="108"/>
      <c r="CM666" s="108"/>
      <c r="CN666" s="110"/>
      <c r="CO666" s="111"/>
      <c r="CP666" s="110"/>
      <c r="CQ666" s="111"/>
      <c r="CR666" s="110"/>
      <c r="CS666" s="111"/>
      <c r="CT666" s="112">
        <f t="shared" si="174"/>
        <v>0</v>
      </c>
      <c r="CU666" s="113"/>
      <c r="CV666" s="114"/>
      <c r="CW666" s="115"/>
      <c r="CX666" s="116"/>
      <c r="CY666" s="117"/>
      <c r="CZ666" s="116"/>
      <c r="DA666" s="113"/>
      <c r="DB666" s="114"/>
      <c r="DC666" s="64"/>
      <c r="DD666" s="118"/>
    </row>
    <row r="667" spans="1:108" s="119" customFormat="1" ht="22.5" outlineLevel="2">
      <c r="A667" s="178">
        <v>40500</v>
      </c>
      <c r="B667" s="164" t="s">
        <v>580</v>
      </c>
      <c r="C667" s="164" t="s">
        <v>1765</v>
      </c>
      <c r="D667" s="166" t="s">
        <v>1262</v>
      </c>
      <c r="E667" s="163"/>
      <c r="F667" s="105"/>
      <c r="G667" s="105"/>
      <c r="H667" s="105">
        <v>3500</v>
      </c>
      <c r="I667" s="105">
        <v>700</v>
      </c>
      <c r="J667" s="105"/>
      <c r="K667" s="105"/>
      <c r="L667" s="105"/>
      <c r="M667" s="105"/>
      <c r="N667" s="105"/>
      <c r="O667" s="105"/>
      <c r="P667" s="105"/>
      <c r="Q667" s="105"/>
      <c r="R667" s="105"/>
      <c r="S667" s="105"/>
      <c r="T667" s="106"/>
      <c r="U667" s="130"/>
      <c r="V667" s="1"/>
      <c r="W667" s="68">
        <f t="shared" si="169"/>
        <v>0</v>
      </c>
      <c r="X667" s="68">
        <f t="shared" si="170"/>
        <v>0</v>
      </c>
      <c r="Y667" s="68">
        <f t="shared" si="171"/>
        <v>0</v>
      </c>
      <c r="Z667" s="68">
        <f t="shared" si="172"/>
        <v>0</v>
      </c>
      <c r="AA667" s="68"/>
      <c r="AB667" s="68">
        <v>0</v>
      </c>
      <c r="AC667" s="69">
        <f t="shared" si="173"/>
        <v>0</v>
      </c>
      <c r="AD667" s="70">
        <v>0</v>
      </c>
      <c r="AE667" s="63">
        <v>40512</v>
      </c>
      <c r="AF667" s="72"/>
      <c r="AG667" s="63" t="s">
        <v>938</v>
      </c>
      <c r="AH667" s="23" t="s">
        <v>939</v>
      </c>
      <c r="AI667" s="60"/>
      <c r="AJ667" s="124" t="s">
        <v>1608</v>
      </c>
      <c r="AK667" s="121"/>
      <c r="AL667" s="107"/>
      <c r="AM667" s="108"/>
      <c r="AN667" s="109"/>
      <c r="AO667" s="108"/>
      <c r="AP667" s="108"/>
      <c r="AQ667" s="108"/>
      <c r="AR667" s="108"/>
      <c r="AS667" s="108"/>
      <c r="AT667" s="108"/>
      <c r="AU667" s="108"/>
      <c r="AV667" s="108"/>
      <c r="AW667" s="108"/>
      <c r="AX667" s="108"/>
      <c r="AY667" s="108"/>
      <c r="AZ667" s="108"/>
      <c r="BA667" s="108"/>
      <c r="BB667" s="108"/>
      <c r="BC667" s="108"/>
      <c r="BD667" s="108"/>
      <c r="BE667" s="108"/>
      <c r="BF667" s="108"/>
      <c r="BG667" s="108"/>
      <c r="BH667" s="108"/>
      <c r="BI667" s="108"/>
      <c r="BJ667" s="108"/>
      <c r="BK667" s="108"/>
      <c r="BL667" s="108"/>
      <c r="BM667" s="108"/>
      <c r="BN667" s="108"/>
      <c r="BO667" s="108"/>
      <c r="BP667" s="108"/>
      <c r="BQ667" s="108"/>
      <c r="BR667" s="108"/>
      <c r="BS667" s="108"/>
      <c r="BT667" s="108"/>
      <c r="BU667" s="108"/>
      <c r="BV667" s="108"/>
      <c r="BW667" s="108"/>
      <c r="BX667" s="108"/>
      <c r="BY667" s="108"/>
      <c r="BZ667" s="108"/>
      <c r="CA667" s="108"/>
      <c r="CB667" s="108"/>
      <c r="CC667" s="108"/>
      <c r="CD667" s="108"/>
      <c r="CE667" s="108"/>
      <c r="CF667" s="108"/>
      <c r="CG667" s="108"/>
      <c r="CH667" s="108"/>
      <c r="CI667" s="108"/>
      <c r="CJ667" s="108"/>
      <c r="CK667" s="108"/>
      <c r="CL667" s="108"/>
      <c r="CM667" s="108"/>
      <c r="CN667" s="110"/>
      <c r="CO667" s="111"/>
      <c r="CP667" s="110"/>
      <c r="CQ667" s="111"/>
      <c r="CR667" s="110"/>
      <c r="CS667" s="111"/>
      <c r="CT667" s="112">
        <f t="shared" si="174"/>
        <v>0</v>
      </c>
      <c r="CU667" s="113"/>
      <c r="CV667" s="114"/>
      <c r="CW667" s="115"/>
      <c r="CX667" s="116"/>
      <c r="CY667" s="117"/>
      <c r="CZ667" s="116"/>
      <c r="DA667" s="113"/>
      <c r="DB667" s="114"/>
      <c r="DC667" s="64"/>
      <c r="DD667" s="118"/>
    </row>
    <row r="668" spans="1:108" s="119" customFormat="1" ht="24" outlineLevel="2">
      <c r="A668" s="178">
        <v>40502</v>
      </c>
      <c r="B668" s="164" t="s">
        <v>580</v>
      </c>
      <c r="C668" s="164" t="s">
        <v>1652</v>
      </c>
      <c r="D668" s="166" t="s">
        <v>1262</v>
      </c>
      <c r="E668" s="163"/>
      <c r="F668" s="105"/>
      <c r="G668" s="105"/>
      <c r="H668" s="105">
        <v>3559</v>
      </c>
      <c r="I668" s="105">
        <v>899</v>
      </c>
      <c r="J668" s="105"/>
      <c r="K668" s="105">
        <v>899</v>
      </c>
      <c r="L668" s="105"/>
      <c r="M668" s="105"/>
      <c r="N668" s="105"/>
      <c r="O668" s="105"/>
      <c r="P668" s="105"/>
      <c r="Q668" s="105"/>
      <c r="R668" s="105"/>
      <c r="S668" s="105"/>
      <c r="T668" s="106"/>
      <c r="U668" s="130"/>
      <c r="V668" s="1"/>
      <c r="W668" s="68">
        <f t="shared" si="169"/>
        <v>0</v>
      </c>
      <c r="X668" s="68">
        <f t="shared" si="170"/>
        <v>0</v>
      </c>
      <c r="Y668" s="68">
        <f t="shared" si="171"/>
        <v>0</v>
      </c>
      <c r="Z668" s="68">
        <f t="shared" si="172"/>
        <v>0</v>
      </c>
      <c r="AA668" s="68"/>
      <c r="AB668" s="68">
        <v>0</v>
      </c>
      <c r="AC668" s="69">
        <f t="shared" si="173"/>
        <v>0</v>
      </c>
      <c r="AD668" s="70">
        <v>0</v>
      </c>
      <c r="AE668" s="63">
        <v>40505</v>
      </c>
      <c r="AF668" s="72"/>
      <c r="AG668" s="63" t="s">
        <v>938</v>
      </c>
      <c r="AH668" s="23" t="s">
        <v>939</v>
      </c>
      <c r="AI668" s="60"/>
      <c r="AJ668" s="124" t="s">
        <v>1608</v>
      </c>
      <c r="AK668" s="121" t="s">
        <v>720</v>
      </c>
      <c r="AL668" s="107"/>
      <c r="AM668" s="108"/>
      <c r="AN668" s="109"/>
      <c r="AO668" s="108"/>
      <c r="AP668" s="108"/>
      <c r="AQ668" s="108"/>
      <c r="AR668" s="108"/>
      <c r="AS668" s="108"/>
      <c r="AT668" s="108"/>
      <c r="AU668" s="108"/>
      <c r="AV668" s="108"/>
      <c r="AW668" s="108"/>
      <c r="AX668" s="108"/>
      <c r="AY668" s="108"/>
      <c r="AZ668" s="108"/>
      <c r="BA668" s="108"/>
      <c r="BB668" s="108"/>
      <c r="BC668" s="108"/>
      <c r="BD668" s="108"/>
      <c r="BE668" s="108"/>
      <c r="BF668" s="108"/>
      <c r="BG668" s="108"/>
      <c r="BH668" s="108"/>
      <c r="BI668" s="108"/>
      <c r="BJ668" s="108"/>
      <c r="BK668" s="108"/>
      <c r="BL668" s="108"/>
      <c r="BM668" s="108"/>
      <c r="BN668" s="108"/>
      <c r="BO668" s="108"/>
      <c r="BP668" s="108"/>
      <c r="BQ668" s="108"/>
      <c r="BR668" s="108"/>
      <c r="BS668" s="108"/>
      <c r="BT668" s="108"/>
      <c r="BU668" s="108"/>
      <c r="BV668" s="108"/>
      <c r="BW668" s="108"/>
      <c r="BX668" s="108"/>
      <c r="BY668" s="108"/>
      <c r="BZ668" s="108"/>
      <c r="CA668" s="108"/>
      <c r="CB668" s="108"/>
      <c r="CC668" s="108"/>
      <c r="CD668" s="108"/>
      <c r="CE668" s="108"/>
      <c r="CF668" s="108"/>
      <c r="CG668" s="108"/>
      <c r="CH668" s="108"/>
      <c r="CI668" s="108"/>
      <c r="CJ668" s="108"/>
      <c r="CK668" s="108"/>
      <c r="CL668" s="108"/>
      <c r="CM668" s="108"/>
      <c r="CN668" s="110"/>
      <c r="CO668" s="111"/>
      <c r="CP668" s="110"/>
      <c r="CQ668" s="111"/>
      <c r="CR668" s="110"/>
      <c r="CS668" s="111"/>
      <c r="CT668" s="112">
        <f t="shared" si="174"/>
        <v>0</v>
      </c>
      <c r="CU668" s="113"/>
      <c r="CV668" s="114"/>
      <c r="CW668" s="115"/>
      <c r="CX668" s="116"/>
      <c r="CY668" s="117"/>
      <c r="CZ668" s="116"/>
      <c r="DA668" s="113"/>
      <c r="DB668" s="114"/>
      <c r="DC668" s="64"/>
      <c r="DD668" s="118"/>
    </row>
    <row r="669" spans="1:108" s="119" customFormat="1" ht="24" outlineLevel="2">
      <c r="A669" s="178">
        <v>40509</v>
      </c>
      <c r="B669" s="164" t="s">
        <v>580</v>
      </c>
      <c r="C669" s="164" t="s">
        <v>616</v>
      </c>
      <c r="D669" s="166" t="s">
        <v>1262</v>
      </c>
      <c r="E669" s="163">
        <v>2</v>
      </c>
      <c r="F669" s="105"/>
      <c r="G669" s="105"/>
      <c r="H669" s="105"/>
      <c r="I669" s="105"/>
      <c r="J669" s="105"/>
      <c r="K669" s="105"/>
      <c r="L669" s="105"/>
      <c r="M669" s="105"/>
      <c r="N669" s="105"/>
      <c r="O669" s="105"/>
      <c r="P669" s="105"/>
      <c r="Q669" s="105"/>
      <c r="R669" s="105"/>
      <c r="S669" s="105"/>
      <c r="T669" s="106"/>
      <c r="U669" s="130"/>
      <c r="V669" s="1"/>
      <c r="W669" s="68">
        <f t="shared" si="169"/>
        <v>0</v>
      </c>
      <c r="X669" s="68">
        <f t="shared" si="170"/>
        <v>0</v>
      </c>
      <c r="Y669" s="68">
        <f t="shared" si="171"/>
        <v>0</v>
      </c>
      <c r="Z669" s="68">
        <f t="shared" si="172"/>
        <v>0</v>
      </c>
      <c r="AA669" s="68"/>
      <c r="AB669" s="68">
        <v>0</v>
      </c>
      <c r="AC669" s="69">
        <f t="shared" si="173"/>
        <v>0</v>
      </c>
      <c r="AD669" s="70">
        <v>0</v>
      </c>
      <c r="AE669" s="63"/>
      <c r="AF669" s="72"/>
      <c r="AG669" s="63"/>
      <c r="AH669" s="23"/>
      <c r="AI669" s="60"/>
      <c r="AJ669" s="124"/>
      <c r="AK669" s="121" t="s">
        <v>2153</v>
      </c>
      <c r="AL669" s="107"/>
      <c r="AM669" s="108"/>
      <c r="AN669" s="109"/>
      <c r="AO669" s="108"/>
      <c r="AP669" s="108"/>
      <c r="AQ669" s="108"/>
      <c r="AR669" s="108"/>
      <c r="AS669" s="108"/>
      <c r="AT669" s="108"/>
      <c r="AU669" s="108"/>
      <c r="AV669" s="108"/>
      <c r="AW669" s="108"/>
      <c r="AX669" s="108"/>
      <c r="AY669" s="108"/>
      <c r="AZ669" s="108"/>
      <c r="BA669" s="108"/>
      <c r="BB669" s="108"/>
      <c r="BC669" s="108"/>
      <c r="BD669" s="108"/>
      <c r="BE669" s="108"/>
      <c r="BF669" s="108"/>
      <c r="BG669" s="108"/>
      <c r="BH669" s="108"/>
      <c r="BI669" s="108"/>
      <c r="BJ669" s="108"/>
      <c r="BK669" s="108"/>
      <c r="BL669" s="108"/>
      <c r="BM669" s="108"/>
      <c r="BN669" s="108"/>
      <c r="BO669" s="108"/>
      <c r="BP669" s="108"/>
      <c r="BQ669" s="108"/>
      <c r="BR669" s="108"/>
      <c r="BS669" s="108"/>
      <c r="BT669" s="108"/>
      <c r="BU669" s="108"/>
      <c r="BV669" s="108"/>
      <c r="BW669" s="108"/>
      <c r="BX669" s="108"/>
      <c r="BY669" s="108"/>
      <c r="BZ669" s="108"/>
      <c r="CA669" s="108"/>
      <c r="CB669" s="108"/>
      <c r="CC669" s="108"/>
      <c r="CD669" s="108"/>
      <c r="CE669" s="108"/>
      <c r="CF669" s="108"/>
      <c r="CG669" s="108"/>
      <c r="CH669" s="108"/>
      <c r="CI669" s="108"/>
      <c r="CJ669" s="108"/>
      <c r="CK669" s="108"/>
      <c r="CL669" s="108"/>
      <c r="CM669" s="108"/>
      <c r="CN669" s="110"/>
      <c r="CO669" s="111"/>
      <c r="CP669" s="110"/>
      <c r="CQ669" s="111"/>
      <c r="CR669" s="110"/>
      <c r="CS669" s="111"/>
      <c r="CT669" s="112">
        <f t="shared" si="174"/>
        <v>0</v>
      </c>
      <c r="CU669" s="113"/>
      <c r="CV669" s="114"/>
      <c r="CW669" s="115"/>
      <c r="CX669" s="116"/>
      <c r="CY669" s="117"/>
      <c r="CZ669" s="116"/>
      <c r="DA669" s="113"/>
      <c r="DB669" s="114"/>
      <c r="DC669" s="64"/>
      <c r="DD669" s="118"/>
    </row>
    <row r="670" spans="1:108" s="119" customFormat="1" ht="48" outlineLevel="2">
      <c r="A670" s="178">
        <v>40511</v>
      </c>
      <c r="B670" s="164" t="s">
        <v>580</v>
      </c>
      <c r="C670" s="164" t="s">
        <v>1653</v>
      </c>
      <c r="D670" s="166" t="s">
        <v>1262</v>
      </c>
      <c r="E670" s="163"/>
      <c r="F670" s="105"/>
      <c r="G670" s="105"/>
      <c r="H670" s="105">
        <v>1250</v>
      </c>
      <c r="I670" s="105">
        <v>350</v>
      </c>
      <c r="J670" s="105"/>
      <c r="K670" s="105">
        <v>350</v>
      </c>
      <c r="L670" s="105"/>
      <c r="M670" s="105"/>
      <c r="N670" s="105"/>
      <c r="O670" s="105"/>
      <c r="P670" s="105"/>
      <c r="Q670" s="105"/>
      <c r="R670" s="105"/>
      <c r="S670" s="105"/>
      <c r="T670" s="106"/>
      <c r="U670" s="130"/>
      <c r="V670" s="1"/>
      <c r="W670" s="68">
        <f t="shared" si="169"/>
        <v>0</v>
      </c>
      <c r="X670" s="68">
        <f t="shared" si="170"/>
        <v>0</v>
      </c>
      <c r="Y670" s="68">
        <f t="shared" si="171"/>
        <v>0</v>
      </c>
      <c r="Z670" s="68">
        <f t="shared" si="172"/>
        <v>0</v>
      </c>
      <c r="AA670" s="68"/>
      <c r="AB670" s="68">
        <v>0</v>
      </c>
      <c r="AC670" s="69">
        <f t="shared" si="173"/>
        <v>0</v>
      </c>
      <c r="AD670" s="70">
        <v>0</v>
      </c>
      <c r="AE670" s="63"/>
      <c r="AF670" s="72"/>
      <c r="AG670" s="63"/>
      <c r="AH670" s="23"/>
      <c r="AI670" s="60"/>
      <c r="AJ670" s="124"/>
      <c r="AK670" s="121" t="s">
        <v>2132</v>
      </c>
      <c r="AL670" s="107"/>
      <c r="AM670" s="108"/>
      <c r="AN670" s="109"/>
      <c r="AO670" s="108"/>
      <c r="AP670" s="108"/>
      <c r="AQ670" s="108"/>
      <c r="AR670" s="108"/>
      <c r="AS670" s="108"/>
      <c r="AT670" s="108"/>
      <c r="AU670" s="108"/>
      <c r="AV670" s="108"/>
      <c r="AW670" s="108"/>
      <c r="AX670" s="108"/>
      <c r="AY670" s="108"/>
      <c r="AZ670" s="108"/>
      <c r="BA670" s="108"/>
      <c r="BB670" s="108"/>
      <c r="BC670" s="108"/>
      <c r="BD670" s="108"/>
      <c r="BE670" s="108"/>
      <c r="BF670" s="108"/>
      <c r="BG670" s="108"/>
      <c r="BH670" s="108"/>
      <c r="BI670" s="108"/>
      <c r="BJ670" s="108"/>
      <c r="BK670" s="108"/>
      <c r="BL670" s="108"/>
      <c r="BM670" s="108"/>
      <c r="BN670" s="108"/>
      <c r="BO670" s="108"/>
      <c r="BP670" s="108"/>
      <c r="BQ670" s="108"/>
      <c r="BR670" s="108"/>
      <c r="BS670" s="108"/>
      <c r="BT670" s="108"/>
      <c r="BU670" s="108"/>
      <c r="BV670" s="108"/>
      <c r="BW670" s="108"/>
      <c r="BX670" s="108"/>
      <c r="BY670" s="108"/>
      <c r="BZ670" s="108"/>
      <c r="CA670" s="108"/>
      <c r="CB670" s="108"/>
      <c r="CC670" s="108"/>
      <c r="CD670" s="108"/>
      <c r="CE670" s="108"/>
      <c r="CF670" s="108"/>
      <c r="CG670" s="108"/>
      <c r="CH670" s="108"/>
      <c r="CI670" s="108"/>
      <c r="CJ670" s="108"/>
      <c r="CK670" s="108"/>
      <c r="CL670" s="108"/>
      <c r="CM670" s="108"/>
      <c r="CN670" s="110"/>
      <c r="CO670" s="111"/>
      <c r="CP670" s="110"/>
      <c r="CQ670" s="111"/>
      <c r="CR670" s="110"/>
      <c r="CS670" s="111"/>
      <c r="CT670" s="112">
        <f t="shared" si="174"/>
        <v>0</v>
      </c>
      <c r="CU670" s="113"/>
      <c r="CV670" s="114"/>
      <c r="CW670" s="115"/>
      <c r="CX670" s="116"/>
      <c r="CY670" s="117"/>
      <c r="CZ670" s="116"/>
      <c r="DA670" s="113"/>
      <c r="DB670" s="114"/>
      <c r="DC670" s="64"/>
      <c r="DD670" s="118"/>
    </row>
    <row r="671" spans="1:108" s="119" customFormat="1" outlineLevel="2">
      <c r="A671" s="178">
        <v>40513</v>
      </c>
      <c r="B671" s="164" t="s">
        <v>580</v>
      </c>
      <c r="C671" s="164" t="s">
        <v>2403</v>
      </c>
      <c r="D671" s="166" t="s">
        <v>1262</v>
      </c>
      <c r="E671" s="163"/>
      <c r="F671" s="105"/>
      <c r="G671" s="105"/>
      <c r="H671" s="105">
        <v>1063</v>
      </c>
      <c r="I671" s="105">
        <v>204</v>
      </c>
      <c r="J671" s="105"/>
      <c r="K671" s="105">
        <v>204</v>
      </c>
      <c r="L671" s="105"/>
      <c r="M671" s="105"/>
      <c r="N671" s="105"/>
      <c r="O671" s="105"/>
      <c r="P671" s="105"/>
      <c r="Q671" s="105"/>
      <c r="R671" s="105"/>
      <c r="S671" s="105"/>
      <c r="T671" s="106"/>
      <c r="U671" s="130"/>
      <c r="V671" s="1"/>
      <c r="W671" s="68">
        <f t="shared" si="169"/>
        <v>0</v>
      </c>
      <c r="X671" s="68">
        <f t="shared" si="170"/>
        <v>0</v>
      </c>
      <c r="Y671" s="68">
        <f t="shared" si="171"/>
        <v>0</v>
      </c>
      <c r="Z671" s="68">
        <f t="shared" si="172"/>
        <v>0</v>
      </c>
      <c r="AA671" s="68"/>
      <c r="AB671" s="68">
        <v>0</v>
      </c>
      <c r="AC671" s="69">
        <f t="shared" si="173"/>
        <v>0</v>
      </c>
      <c r="AD671" s="70">
        <v>0</v>
      </c>
      <c r="AE671" s="63"/>
      <c r="AF671" s="72"/>
      <c r="AG671" s="63"/>
      <c r="AH671" s="23"/>
      <c r="AI671" s="60"/>
      <c r="AJ671" s="124"/>
      <c r="AK671" s="121" t="s">
        <v>2405</v>
      </c>
      <c r="AL671" s="107"/>
      <c r="AM671" s="108"/>
      <c r="AN671" s="109"/>
      <c r="AO671" s="108"/>
      <c r="AP671" s="108"/>
      <c r="AQ671" s="108"/>
      <c r="AR671" s="108"/>
      <c r="AS671" s="108"/>
      <c r="AT671" s="108"/>
      <c r="AU671" s="108"/>
      <c r="AV671" s="108"/>
      <c r="AW671" s="108"/>
      <c r="AX671" s="108"/>
      <c r="AY671" s="108"/>
      <c r="AZ671" s="108"/>
      <c r="BA671" s="108"/>
      <c r="BB671" s="108"/>
      <c r="BC671" s="108"/>
      <c r="BD671" s="108"/>
      <c r="BE671" s="108"/>
      <c r="BF671" s="108"/>
      <c r="BG671" s="108"/>
      <c r="BH671" s="108"/>
      <c r="BI671" s="108"/>
      <c r="BJ671" s="108"/>
      <c r="BK671" s="108"/>
      <c r="BL671" s="108"/>
      <c r="BM671" s="108"/>
      <c r="BN671" s="108"/>
      <c r="BO671" s="108"/>
      <c r="BP671" s="108"/>
      <c r="BQ671" s="108"/>
      <c r="BR671" s="108"/>
      <c r="BS671" s="108"/>
      <c r="BT671" s="108"/>
      <c r="BU671" s="108"/>
      <c r="BV671" s="108"/>
      <c r="BW671" s="108"/>
      <c r="BX671" s="108"/>
      <c r="BY671" s="108"/>
      <c r="BZ671" s="108"/>
      <c r="CA671" s="108"/>
      <c r="CB671" s="108"/>
      <c r="CC671" s="108"/>
      <c r="CD671" s="108"/>
      <c r="CE671" s="108"/>
      <c r="CF671" s="108"/>
      <c r="CG671" s="108"/>
      <c r="CH671" s="108"/>
      <c r="CI671" s="108"/>
      <c r="CJ671" s="108"/>
      <c r="CK671" s="108"/>
      <c r="CL671" s="108"/>
      <c r="CM671" s="108"/>
      <c r="CN671" s="110"/>
      <c r="CO671" s="111"/>
      <c r="CP671" s="110"/>
      <c r="CQ671" s="111"/>
      <c r="CR671" s="110"/>
      <c r="CS671" s="111"/>
      <c r="CT671" s="112">
        <f t="shared" si="174"/>
        <v>0</v>
      </c>
      <c r="CU671" s="113"/>
      <c r="CV671" s="114"/>
      <c r="CW671" s="115"/>
      <c r="CX671" s="116"/>
      <c r="CY671" s="117"/>
      <c r="CZ671" s="116"/>
      <c r="DA671" s="113"/>
      <c r="DB671" s="114"/>
      <c r="DC671" s="64"/>
      <c r="DD671" s="118"/>
    </row>
    <row r="672" spans="1:108" s="119" customFormat="1" ht="48" outlineLevel="2">
      <c r="A672" s="178">
        <v>40523</v>
      </c>
      <c r="B672" s="164" t="s">
        <v>580</v>
      </c>
      <c r="C672" s="164" t="s">
        <v>776</v>
      </c>
      <c r="D672" s="166" t="s">
        <v>1262</v>
      </c>
      <c r="E672" s="163"/>
      <c r="F672" s="105"/>
      <c r="G672" s="105"/>
      <c r="H672" s="105">
        <v>2400</v>
      </c>
      <c r="I672" s="105">
        <v>554</v>
      </c>
      <c r="J672" s="105"/>
      <c r="K672" s="105">
        <v>554</v>
      </c>
      <c r="L672" s="105"/>
      <c r="M672" s="105"/>
      <c r="N672" s="105"/>
      <c r="O672" s="105"/>
      <c r="P672" s="105"/>
      <c r="Q672" s="105"/>
      <c r="R672" s="105"/>
      <c r="S672" s="105"/>
      <c r="T672" s="106"/>
      <c r="U672" s="130"/>
      <c r="V672" s="1"/>
      <c r="W672" s="68">
        <f t="shared" si="169"/>
        <v>0</v>
      </c>
      <c r="X672" s="68">
        <f t="shared" si="170"/>
        <v>0</v>
      </c>
      <c r="Y672" s="68">
        <f t="shared" si="171"/>
        <v>0</v>
      </c>
      <c r="Z672" s="68">
        <f t="shared" si="172"/>
        <v>0</v>
      </c>
      <c r="AA672" s="68"/>
      <c r="AB672" s="68">
        <v>0</v>
      </c>
      <c r="AC672" s="69">
        <f t="shared" si="173"/>
        <v>0</v>
      </c>
      <c r="AD672" s="70">
        <v>0</v>
      </c>
      <c r="AE672" s="63"/>
      <c r="AF672" s="72"/>
      <c r="AG672" s="63"/>
      <c r="AH672" s="23"/>
      <c r="AI672" s="60"/>
      <c r="AJ672" s="124"/>
      <c r="AK672" s="121" t="s">
        <v>2394</v>
      </c>
      <c r="AL672" s="107"/>
      <c r="AM672" s="108"/>
      <c r="AN672" s="109"/>
      <c r="AO672" s="108"/>
      <c r="AP672" s="108"/>
      <c r="AQ672" s="108"/>
      <c r="AR672" s="108"/>
      <c r="AS672" s="108"/>
      <c r="AT672" s="108"/>
      <c r="AU672" s="108"/>
      <c r="AV672" s="108"/>
      <c r="AW672" s="108"/>
      <c r="AX672" s="108"/>
      <c r="AY672" s="108"/>
      <c r="AZ672" s="108"/>
      <c r="BA672" s="108"/>
      <c r="BB672" s="108"/>
      <c r="BC672" s="108"/>
      <c r="BD672" s="108"/>
      <c r="BE672" s="108"/>
      <c r="BF672" s="108"/>
      <c r="BG672" s="108"/>
      <c r="BH672" s="108"/>
      <c r="BI672" s="108"/>
      <c r="BJ672" s="108"/>
      <c r="BK672" s="108"/>
      <c r="BL672" s="108"/>
      <c r="BM672" s="108"/>
      <c r="BN672" s="108"/>
      <c r="BO672" s="108"/>
      <c r="BP672" s="108"/>
      <c r="BQ672" s="108"/>
      <c r="BR672" s="108"/>
      <c r="BS672" s="108"/>
      <c r="BT672" s="108"/>
      <c r="BU672" s="108"/>
      <c r="BV672" s="108"/>
      <c r="BW672" s="108"/>
      <c r="BX672" s="108"/>
      <c r="BY672" s="108"/>
      <c r="BZ672" s="108"/>
      <c r="CA672" s="108"/>
      <c r="CB672" s="108"/>
      <c r="CC672" s="108"/>
      <c r="CD672" s="108"/>
      <c r="CE672" s="108"/>
      <c r="CF672" s="108"/>
      <c r="CG672" s="108"/>
      <c r="CH672" s="108"/>
      <c r="CI672" s="108"/>
      <c r="CJ672" s="108"/>
      <c r="CK672" s="108"/>
      <c r="CL672" s="108"/>
      <c r="CM672" s="108"/>
      <c r="CN672" s="110"/>
      <c r="CO672" s="111"/>
      <c r="CP672" s="110"/>
      <c r="CQ672" s="111"/>
      <c r="CR672" s="110"/>
      <c r="CS672" s="111"/>
      <c r="CT672" s="112">
        <f t="shared" si="174"/>
        <v>0</v>
      </c>
      <c r="CU672" s="113"/>
      <c r="CV672" s="114"/>
      <c r="CW672" s="115"/>
      <c r="CX672" s="116"/>
      <c r="CY672" s="117"/>
      <c r="CZ672" s="116"/>
      <c r="DA672" s="113"/>
      <c r="DB672" s="114"/>
      <c r="DC672" s="64"/>
      <c r="DD672" s="118"/>
    </row>
    <row r="673" spans="1:108" s="119" customFormat="1" ht="24" outlineLevel="2">
      <c r="A673" s="178">
        <v>40521</v>
      </c>
      <c r="B673" s="164" t="s">
        <v>580</v>
      </c>
      <c r="C673" s="164" t="s">
        <v>507</v>
      </c>
      <c r="D673" s="166" t="s">
        <v>1262</v>
      </c>
      <c r="E673" s="163">
        <v>1</v>
      </c>
      <c r="F673" s="105"/>
      <c r="G673" s="105"/>
      <c r="H673" s="105"/>
      <c r="I673" s="105"/>
      <c r="J673" s="105"/>
      <c r="K673" s="105"/>
      <c r="L673" s="105"/>
      <c r="M673" s="105"/>
      <c r="N673" s="105"/>
      <c r="O673" s="105"/>
      <c r="P673" s="105"/>
      <c r="Q673" s="105"/>
      <c r="R673" s="105"/>
      <c r="S673" s="105"/>
      <c r="T673" s="106"/>
      <c r="U673" s="130"/>
      <c r="V673" s="1"/>
      <c r="W673" s="68">
        <f t="shared" si="169"/>
        <v>0</v>
      </c>
      <c r="X673" s="68">
        <f t="shared" si="170"/>
        <v>0</v>
      </c>
      <c r="Y673" s="68">
        <f t="shared" si="171"/>
        <v>0</v>
      </c>
      <c r="Z673" s="68">
        <f t="shared" si="172"/>
        <v>0</v>
      </c>
      <c r="AA673" s="68"/>
      <c r="AB673" s="68">
        <v>0</v>
      </c>
      <c r="AC673" s="69">
        <f t="shared" si="173"/>
        <v>0</v>
      </c>
      <c r="AD673" s="70">
        <v>0</v>
      </c>
      <c r="AE673" s="63"/>
      <c r="AF673" s="72"/>
      <c r="AG673" s="63"/>
      <c r="AH673" s="23"/>
      <c r="AI673" s="60"/>
      <c r="AJ673" s="124"/>
      <c r="AK673" s="185" t="s">
        <v>2434</v>
      </c>
      <c r="AL673" s="123"/>
      <c r="AM673" s="108"/>
      <c r="AN673" s="109"/>
      <c r="AO673" s="108"/>
      <c r="AP673" s="108"/>
      <c r="AQ673" s="108"/>
      <c r="AR673" s="108"/>
      <c r="AS673" s="108"/>
      <c r="AT673" s="108"/>
      <c r="AU673" s="108"/>
      <c r="AV673" s="108"/>
      <c r="AW673" s="108"/>
      <c r="AX673" s="108"/>
      <c r="AY673" s="108"/>
      <c r="AZ673" s="108"/>
      <c r="BA673" s="108"/>
      <c r="BB673" s="108"/>
      <c r="BC673" s="108"/>
      <c r="BD673" s="108"/>
      <c r="BE673" s="108"/>
      <c r="BF673" s="108"/>
      <c r="BG673" s="108"/>
      <c r="BH673" s="108"/>
      <c r="BI673" s="108"/>
      <c r="BJ673" s="108"/>
      <c r="BK673" s="108"/>
      <c r="BL673" s="108"/>
      <c r="BM673" s="108"/>
      <c r="BN673" s="108"/>
      <c r="BO673" s="108"/>
      <c r="BP673" s="108"/>
      <c r="BQ673" s="108"/>
      <c r="BR673" s="108"/>
      <c r="BS673" s="108"/>
      <c r="BT673" s="108"/>
      <c r="BU673" s="108"/>
      <c r="BV673" s="108"/>
      <c r="BW673" s="108"/>
      <c r="BX673" s="108"/>
      <c r="BY673" s="108"/>
      <c r="BZ673" s="108"/>
      <c r="CA673" s="108"/>
      <c r="CB673" s="108"/>
      <c r="CC673" s="108"/>
      <c r="CD673" s="108"/>
      <c r="CE673" s="108"/>
      <c r="CF673" s="108"/>
      <c r="CG673" s="108"/>
      <c r="CH673" s="108"/>
      <c r="CI673" s="108"/>
      <c r="CJ673" s="108"/>
      <c r="CK673" s="108"/>
      <c r="CL673" s="108"/>
      <c r="CM673" s="108"/>
      <c r="CN673" s="110"/>
      <c r="CO673" s="111"/>
      <c r="CP673" s="110"/>
      <c r="CQ673" s="111"/>
      <c r="CR673" s="110"/>
      <c r="CS673" s="111"/>
      <c r="CT673" s="112">
        <f t="shared" si="174"/>
        <v>0</v>
      </c>
      <c r="CU673" s="113"/>
      <c r="CV673" s="114"/>
      <c r="CW673" s="115"/>
      <c r="CX673" s="116"/>
      <c r="CY673" s="117"/>
      <c r="CZ673" s="116"/>
      <c r="DA673" s="113"/>
      <c r="DB673" s="114"/>
      <c r="DC673" s="64"/>
      <c r="DD673" s="118"/>
    </row>
    <row r="674" spans="1:108" s="119" customFormat="1" outlineLevel="1">
      <c r="A674" s="178"/>
      <c r="B674" s="192" t="s">
        <v>2449</v>
      </c>
      <c r="C674" s="164"/>
      <c r="D674" s="166"/>
      <c r="E674" s="163">
        <f t="shared" ref="E674:T674" si="175">SUBTOTAL(9,E625:E673)</f>
        <v>7</v>
      </c>
      <c r="F674" s="105">
        <f t="shared" si="175"/>
        <v>8</v>
      </c>
      <c r="G674" s="105">
        <f t="shared" si="175"/>
        <v>1</v>
      </c>
      <c r="H674" s="105">
        <f t="shared" si="175"/>
        <v>133280</v>
      </c>
      <c r="I674" s="105">
        <f t="shared" si="175"/>
        <v>27923</v>
      </c>
      <c r="J674" s="105">
        <f t="shared" si="175"/>
        <v>25</v>
      </c>
      <c r="K674" s="105">
        <f t="shared" si="175"/>
        <v>17285</v>
      </c>
      <c r="L674" s="105">
        <f t="shared" si="175"/>
        <v>0</v>
      </c>
      <c r="M674" s="105">
        <f t="shared" si="175"/>
        <v>0</v>
      </c>
      <c r="N674" s="105">
        <f t="shared" si="175"/>
        <v>19</v>
      </c>
      <c r="O674" s="105">
        <f t="shared" si="175"/>
        <v>1</v>
      </c>
      <c r="P674" s="105">
        <f t="shared" si="175"/>
        <v>0</v>
      </c>
      <c r="Q674" s="105">
        <f t="shared" si="175"/>
        <v>0</v>
      </c>
      <c r="R674" s="105">
        <f t="shared" si="175"/>
        <v>0</v>
      </c>
      <c r="S674" s="105">
        <f t="shared" si="175"/>
        <v>0</v>
      </c>
      <c r="T674" s="106">
        <f t="shared" si="175"/>
        <v>555.25</v>
      </c>
      <c r="U674" s="130"/>
      <c r="V674" s="1"/>
      <c r="W674" s="68">
        <f t="shared" ref="W674:AD674" si="176">SUBTOTAL(9,W625:W673)</f>
        <v>23811015</v>
      </c>
      <c r="X674" s="68">
        <f t="shared" si="176"/>
        <v>263328259.80000001</v>
      </c>
      <c r="Y674" s="68">
        <f t="shared" si="176"/>
        <v>40492800</v>
      </c>
      <c r="Z674" s="68">
        <f t="shared" si="176"/>
        <v>0</v>
      </c>
      <c r="AA674" s="68">
        <f t="shared" si="176"/>
        <v>69908800</v>
      </c>
      <c r="AB674" s="68">
        <f t="shared" si="176"/>
        <v>272704567</v>
      </c>
      <c r="AC674" s="69">
        <f t="shared" si="176"/>
        <v>670245441.79999995</v>
      </c>
      <c r="AD674" s="70">
        <f t="shared" si="176"/>
        <v>863515000</v>
      </c>
      <c r="AE674" s="63"/>
      <c r="AF674" s="72"/>
      <c r="AG674" s="63"/>
      <c r="AH674" s="23"/>
      <c r="AI674" s="60"/>
      <c r="AJ674" s="124"/>
      <c r="AK674" s="147"/>
      <c r="AL674" s="123"/>
      <c r="AM674" s="108"/>
      <c r="AN674" s="109"/>
      <c r="AO674" s="108"/>
      <c r="AP674" s="108"/>
      <c r="AQ674" s="108"/>
      <c r="AR674" s="108"/>
      <c r="AS674" s="108"/>
      <c r="AT674" s="108"/>
      <c r="AU674" s="108"/>
      <c r="AV674" s="108"/>
      <c r="AW674" s="108"/>
      <c r="AX674" s="108"/>
      <c r="AY674" s="108"/>
      <c r="AZ674" s="108"/>
      <c r="BA674" s="108"/>
      <c r="BB674" s="108"/>
      <c r="BC674" s="108"/>
      <c r="BD674" s="108"/>
      <c r="BE674" s="108"/>
      <c r="BF674" s="108"/>
      <c r="BG674" s="108"/>
      <c r="BH674" s="108"/>
      <c r="BI674" s="108"/>
      <c r="BJ674" s="108"/>
      <c r="BK674" s="108"/>
      <c r="BL674" s="108"/>
      <c r="BM674" s="108"/>
      <c r="BN674" s="108"/>
      <c r="BO674" s="108"/>
      <c r="BP674" s="108"/>
      <c r="BQ674" s="108"/>
      <c r="BR674" s="108"/>
      <c r="BS674" s="108"/>
      <c r="BT674" s="108"/>
      <c r="BU674" s="108"/>
      <c r="BV674" s="108"/>
      <c r="BW674" s="108"/>
      <c r="BX674" s="108"/>
      <c r="BY674" s="108"/>
      <c r="BZ674" s="108"/>
      <c r="CA674" s="108"/>
      <c r="CB674" s="108"/>
      <c r="CC674" s="108"/>
      <c r="CD674" s="108"/>
      <c r="CE674" s="108"/>
      <c r="CF674" s="108"/>
      <c r="CG674" s="108"/>
      <c r="CH674" s="108"/>
      <c r="CI674" s="108"/>
      <c r="CJ674" s="108"/>
      <c r="CK674" s="108"/>
      <c r="CL674" s="108"/>
      <c r="CM674" s="108"/>
      <c r="CN674" s="110"/>
      <c r="CO674" s="111"/>
      <c r="CP674" s="110"/>
      <c r="CQ674" s="111"/>
      <c r="CR674" s="110"/>
      <c r="CS674" s="111"/>
      <c r="CT674" s="112"/>
      <c r="CU674" s="113"/>
      <c r="CV674" s="114"/>
      <c r="CW674" s="115"/>
      <c r="CX674" s="116"/>
      <c r="CY674" s="117"/>
      <c r="CZ674" s="116"/>
      <c r="DA674" s="113"/>
      <c r="DB674" s="114"/>
      <c r="DC674" s="64"/>
      <c r="DD674" s="118"/>
    </row>
    <row r="675" spans="1:108" s="119" customFormat="1" ht="33.75" outlineLevel="2">
      <c r="A675" s="178">
        <v>40312</v>
      </c>
      <c r="B675" s="82" t="s">
        <v>1360</v>
      </c>
      <c r="C675" s="82" t="s">
        <v>953</v>
      </c>
      <c r="D675" s="165" t="s">
        <v>1262</v>
      </c>
      <c r="E675" s="167"/>
      <c r="F675" s="66"/>
      <c r="G675" s="66"/>
      <c r="H675" s="66"/>
      <c r="I675" s="66"/>
      <c r="J675" s="66"/>
      <c r="K675" s="66"/>
      <c r="L675" s="66"/>
      <c r="M675" s="66"/>
      <c r="N675" s="66"/>
      <c r="O675" s="66"/>
      <c r="P675" s="66"/>
      <c r="Q675" s="66"/>
      <c r="R675" s="66"/>
      <c r="S675" s="66"/>
      <c r="T675" s="67"/>
      <c r="U675" s="151"/>
      <c r="V675" s="1">
        <v>40358</v>
      </c>
      <c r="W675" s="68">
        <f t="shared" ref="W675:W717" si="177">CT675</f>
        <v>0</v>
      </c>
      <c r="X675" s="68">
        <f t="shared" ref="X675:X717" si="178">CX675</f>
        <v>0</v>
      </c>
      <c r="Y675" s="68">
        <f t="shared" ref="Y675:Y710" si="179">CZ675+DB675</f>
        <v>0</v>
      </c>
      <c r="Z675" s="68">
        <f t="shared" ref="Z675:Z717" si="180">CV675</f>
        <v>89958000</v>
      </c>
      <c r="AA675" s="68"/>
      <c r="AB675" s="68">
        <v>0</v>
      </c>
      <c r="AC675" s="69">
        <f t="shared" ref="AC675:AC717" si="181">W675+X675+Y675+Z675+AA675+AB675</f>
        <v>89958000</v>
      </c>
      <c r="AD675" s="70">
        <v>0</v>
      </c>
      <c r="AE675" s="63">
        <v>40312</v>
      </c>
      <c r="AF675" s="72">
        <v>97734</v>
      </c>
      <c r="AG675" s="63" t="s">
        <v>954</v>
      </c>
      <c r="AH675" s="23" t="s">
        <v>955</v>
      </c>
      <c r="AI675" s="75" t="s">
        <v>902</v>
      </c>
      <c r="AJ675" s="133" t="s">
        <v>976</v>
      </c>
      <c r="AK675" s="73" t="s">
        <v>977</v>
      </c>
      <c r="AL675" s="3"/>
      <c r="AM675" s="4"/>
      <c r="AN675" s="5"/>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6"/>
      <c r="CO675" s="7"/>
      <c r="CP675" s="6"/>
      <c r="CQ675" s="7"/>
      <c r="CR675" s="6"/>
      <c r="CS675" s="7"/>
      <c r="CT675" s="8">
        <f t="shared" ref="CT675:CT717" si="182">AM675+AO675+AQ675+AS675+AU675+AW675+AY675+BA675+BC675+BE675+BG675+BI675+BK675+BM675+BO675+BQ675+BS675+BU675+BW675+BY675+CA675+CC675+CE675+CG675+CI675+CK675+CM675+CO675+CQ675+CS675</f>
        <v>0</v>
      </c>
      <c r="CU675" s="9">
        <f>50000+50000</f>
        <v>100000</v>
      </c>
      <c r="CV675" s="10">
        <f>50000*900.16+50000*899</f>
        <v>89958000</v>
      </c>
      <c r="CW675" s="11"/>
      <c r="CX675" s="12"/>
      <c r="CY675" s="26"/>
      <c r="CZ675" s="12"/>
      <c r="DA675" s="9"/>
      <c r="DB675" s="10"/>
      <c r="DC675" s="64"/>
      <c r="DD675" s="22"/>
    </row>
    <row r="676" spans="1:108" s="119" customFormat="1" ht="36" outlineLevel="2">
      <c r="A676" s="178">
        <v>40333</v>
      </c>
      <c r="B676" s="82" t="s">
        <v>1360</v>
      </c>
      <c r="C676" s="82" t="s">
        <v>1667</v>
      </c>
      <c r="D676" s="165" t="s">
        <v>1262</v>
      </c>
      <c r="E676" s="167"/>
      <c r="F676" s="66"/>
      <c r="G676" s="66"/>
      <c r="H676" s="66">
        <v>500</v>
      </c>
      <c r="I676" s="66">
        <v>100</v>
      </c>
      <c r="J676" s="66"/>
      <c r="K676" s="66">
        <v>100</v>
      </c>
      <c r="L676" s="66"/>
      <c r="M676" s="66"/>
      <c r="N676" s="66"/>
      <c r="O676" s="66"/>
      <c r="P676" s="66"/>
      <c r="Q676" s="66"/>
      <c r="R676" s="66"/>
      <c r="S676" s="66"/>
      <c r="T676" s="67"/>
      <c r="U676" s="151"/>
      <c r="V676" s="1"/>
      <c r="W676" s="68">
        <f t="shared" si="177"/>
        <v>0</v>
      </c>
      <c r="X676" s="68">
        <f t="shared" si="178"/>
        <v>0</v>
      </c>
      <c r="Y676" s="68">
        <f t="shared" si="179"/>
        <v>0</v>
      </c>
      <c r="Z676" s="68">
        <f t="shared" si="180"/>
        <v>0</v>
      </c>
      <c r="AA676" s="68"/>
      <c r="AB676" s="68">
        <v>0</v>
      </c>
      <c r="AC676" s="69">
        <f t="shared" si="181"/>
        <v>0</v>
      </c>
      <c r="AD676" s="70">
        <v>0</v>
      </c>
      <c r="AE676" s="63">
        <v>40336</v>
      </c>
      <c r="AF676" s="72"/>
      <c r="AG676" s="63" t="s">
        <v>938</v>
      </c>
      <c r="AH676" s="23" t="s">
        <v>939</v>
      </c>
      <c r="AI676" s="60"/>
      <c r="AJ676" s="133" t="s">
        <v>1608</v>
      </c>
      <c r="AK676" s="73" t="s">
        <v>1668</v>
      </c>
      <c r="AL676" s="3"/>
      <c r="AM676" s="4"/>
      <c r="AN676" s="5"/>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6"/>
      <c r="CO676" s="7"/>
      <c r="CP676" s="6"/>
      <c r="CQ676" s="7"/>
      <c r="CR676" s="6"/>
      <c r="CS676" s="7"/>
      <c r="CT676" s="8">
        <f t="shared" si="182"/>
        <v>0</v>
      </c>
      <c r="CU676" s="9"/>
      <c r="CV676" s="10"/>
      <c r="CW676" s="11"/>
      <c r="CX676" s="12"/>
      <c r="CY676" s="26"/>
      <c r="CZ676" s="12"/>
      <c r="DA676" s="9"/>
      <c r="DB676" s="10"/>
      <c r="DC676" s="64"/>
      <c r="DD676" s="22"/>
    </row>
    <row r="677" spans="1:108" s="119" customFormat="1" ht="48" outlineLevel="2">
      <c r="A677" s="178">
        <v>40345</v>
      </c>
      <c r="B677" s="82" t="s">
        <v>1360</v>
      </c>
      <c r="C677" s="82" t="s">
        <v>1953</v>
      </c>
      <c r="D677" s="165" t="s">
        <v>1262</v>
      </c>
      <c r="E677" s="167"/>
      <c r="F677" s="66"/>
      <c r="G677" s="66"/>
      <c r="H677" s="66">
        <v>1150</v>
      </c>
      <c r="I677" s="66">
        <v>230</v>
      </c>
      <c r="J677" s="66"/>
      <c r="K677" s="66">
        <v>230</v>
      </c>
      <c r="L677" s="66"/>
      <c r="M677" s="66"/>
      <c r="N677" s="66"/>
      <c r="O677" s="66"/>
      <c r="P677" s="66"/>
      <c r="Q677" s="66"/>
      <c r="R677" s="66"/>
      <c r="S677" s="66"/>
      <c r="T677" s="67"/>
      <c r="U677" s="151"/>
      <c r="V677" s="1">
        <v>40380</v>
      </c>
      <c r="W677" s="68">
        <f t="shared" si="177"/>
        <v>60449850</v>
      </c>
      <c r="X677" s="68">
        <f t="shared" si="178"/>
        <v>29750000</v>
      </c>
      <c r="Y677" s="68">
        <f t="shared" si="179"/>
        <v>0</v>
      </c>
      <c r="Z677" s="68">
        <f t="shared" si="180"/>
        <v>0</v>
      </c>
      <c r="AA677" s="68"/>
      <c r="AB677" s="68">
        <v>0</v>
      </c>
      <c r="AC677" s="69">
        <f t="shared" si="181"/>
        <v>90199850</v>
      </c>
      <c r="AD677" s="70">
        <v>0</v>
      </c>
      <c r="AE677" s="63">
        <v>40346</v>
      </c>
      <c r="AF677" s="72">
        <v>98341</v>
      </c>
      <c r="AG677" s="63" t="s">
        <v>954</v>
      </c>
      <c r="AH677" s="23" t="s">
        <v>955</v>
      </c>
      <c r="AI677" s="60">
        <v>205</v>
      </c>
      <c r="AJ677" s="133" t="s">
        <v>415</v>
      </c>
      <c r="AK677" s="73" t="s">
        <v>1954</v>
      </c>
      <c r="AL677" s="3"/>
      <c r="AM677" s="4"/>
      <c r="AN677" s="5"/>
      <c r="AO677" s="4"/>
      <c r="AP677" s="4"/>
      <c r="AQ677" s="4"/>
      <c r="AR677" s="4"/>
      <c r="AS677" s="4"/>
      <c r="AT677" s="4"/>
      <c r="AU677" s="4"/>
      <c r="AV677" s="4"/>
      <c r="AW677" s="4"/>
      <c r="AX677" s="4">
        <v>350</v>
      </c>
      <c r="AY677" s="4">
        <f>350*56000</f>
        <v>19600000</v>
      </c>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v>15</v>
      </c>
      <c r="BY677" s="4">
        <f>15*470000</f>
        <v>7050000</v>
      </c>
      <c r="BZ677" s="4"/>
      <c r="CA677" s="4"/>
      <c r="CB677" s="4"/>
      <c r="CC677" s="4"/>
      <c r="CD677" s="4"/>
      <c r="CE677" s="4"/>
      <c r="CF677" s="4"/>
      <c r="CG677" s="4"/>
      <c r="CH677" s="4">
        <v>350</v>
      </c>
      <c r="CI677" s="4">
        <f>350*22000</f>
        <v>7700000</v>
      </c>
      <c r="CJ677" s="4"/>
      <c r="CK677" s="4"/>
      <c r="CL677" s="4"/>
      <c r="CM677" s="4"/>
      <c r="CN677" s="6">
        <v>350</v>
      </c>
      <c r="CO677" s="7">
        <f>350*36595</f>
        <v>12808250</v>
      </c>
      <c r="CP677" s="6">
        <v>350</v>
      </c>
      <c r="CQ677" s="7">
        <f>350*37976</f>
        <v>13291600</v>
      </c>
      <c r="CR677" s="6"/>
      <c r="CS677" s="7"/>
      <c r="CT677" s="8">
        <f t="shared" si="182"/>
        <v>60449850</v>
      </c>
      <c r="CU677" s="9"/>
      <c r="CV677" s="10"/>
      <c r="CW677" s="11">
        <v>350</v>
      </c>
      <c r="CX677" s="12">
        <f>350*85000</f>
        <v>29750000</v>
      </c>
      <c r="CY677" s="26"/>
      <c r="CZ677" s="12"/>
      <c r="DA677" s="9"/>
      <c r="DB677" s="10"/>
      <c r="DC677" s="64"/>
      <c r="DD677" s="22"/>
    </row>
    <row r="678" spans="1:108" s="119" customFormat="1" ht="24" outlineLevel="2">
      <c r="A678" s="178">
        <v>40345</v>
      </c>
      <c r="B678" s="82" t="s">
        <v>1360</v>
      </c>
      <c r="C678" s="82" t="s">
        <v>1255</v>
      </c>
      <c r="D678" s="165" t="s">
        <v>1262</v>
      </c>
      <c r="E678" s="167"/>
      <c r="F678" s="66"/>
      <c r="G678" s="66"/>
      <c r="H678" s="66">
        <v>40</v>
      </c>
      <c r="I678" s="66">
        <v>8</v>
      </c>
      <c r="J678" s="66"/>
      <c r="K678" s="66">
        <v>8</v>
      </c>
      <c r="L678" s="66"/>
      <c r="M678" s="66"/>
      <c r="N678" s="66"/>
      <c r="O678" s="66"/>
      <c r="P678" s="66"/>
      <c r="Q678" s="66"/>
      <c r="R678" s="66"/>
      <c r="S678" s="66"/>
      <c r="T678" s="67"/>
      <c r="U678" s="151"/>
      <c r="V678" s="1"/>
      <c r="W678" s="68">
        <f t="shared" si="177"/>
        <v>0</v>
      </c>
      <c r="X678" s="68">
        <f t="shared" si="178"/>
        <v>0</v>
      </c>
      <c r="Y678" s="68">
        <f t="shared" si="179"/>
        <v>0</v>
      </c>
      <c r="Z678" s="68">
        <f t="shared" si="180"/>
        <v>0</v>
      </c>
      <c r="AA678" s="68"/>
      <c r="AB678" s="68">
        <v>0</v>
      </c>
      <c r="AC678" s="69">
        <f t="shared" si="181"/>
        <v>0</v>
      </c>
      <c r="AD678" s="70">
        <v>0</v>
      </c>
      <c r="AE678" s="63">
        <v>40350</v>
      </c>
      <c r="AF678" s="72"/>
      <c r="AG678" s="63" t="s">
        <v>938</v>
      </c>
      <c r="AH678" s="23" t="s">
        <v>939</v>
      </c>
      <c r="AI678" s="60"/>
      <c r="AJ678" s="133" t="s">
        <v>1608</v>
      </c>
      <c r="AK678" s="73" t="s">
        <v>1393</v>
      </c>
      <c r="AL678" s="3"/>
      <c r="AM678" s="4"/>
      <c r="AN678" s="5"/>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6"/>
      <c r="CO678" s="7"/>
      <c r="CP678" s="6"/>
      <c r="CQ678" s="7"/>
      <c r="CR678" s="6"/>
      <c r="CS678" s="7"/>
      <c r="CT678" s="8">
        <f t="shared" si="182"/>
        <v>0</v>
      </c>
      <c r="CU678" s="9"/>
      <c r="CV678" s="10"/>
      <c r="CW678" s="11"/>
      <c r="CX678" s="12"/>
      <c r="CY678" s="26"/>
      <c r="CZ678" s="12"/>
      <c r="DA678" s="9"/>
      <c r="DB678" s="10"/>
      <c r="DC678" s="64"/>
      <c r="DD678" s="22"/>
    </row>
    <row r="679" spans="1:108" s="119" customFormat="1" ht="24" outlineLevel="2">
      <c r="A679" s="178">
        <v>40347</v>
      </c>
      <c r="B679" s="82" t="s">
        <v>1360</v>
      </c>
      <c r="C679" s="82" t="s">
        <v>2228</v>
      </c>
      <c r="D679" s="165" t="s">
        <v>1262</v>
      </c>
      <c r="E679" s="167"/>
      <c r="F679" s="66"/>
      <c r="G679" s="66"/>
      <c r="H679" s="66">
        <v>115</v>
      </c>
      <c r="I679" s="66">
        <v>23</v>
      </c>
      <c r="J679" s="66"/>
      <c r="K679" s="66">
        <v>23</v>
      </c>
      <c r="L679" s="66"/>
      <c r="M679" s="66"/>
      <c r="N679" s="66"/>
      <c r="O679" s="66"/>
      <c r="P679" s="66"/>
      <c r="Q679" s="66"/>
      <c r="R679" s="66"/>
      <c r="S679" s="66"/>
      <c r="T679" s="67"/>
      <c r="U679" s="151"/>
      <c r="V679" s="1"/>
      <c r="W679" s="68">
        <f t="shared" si="177"/>
        <v>0</v>
      </c>
      <c r="X679" s="68">
        <f t="shared" si="178"/>
        <v>0</v>
      </c>
      <c r="Y679" s="68">
        <f t="shared" si="179"/>
        <v>0</v>
      </c>
      <c r="Z679" s="68">
        <f t="shared" si="180"/>
        <v>0</v>
      </c>
      <c r="AA679" s="68"/>
      <c r="AB679" s="68">
        <v>0</v>
      </c>
      <c r="AC679" s="69">
        <f t="shared" si="181"/>
        <v>0</v>
      </c>
      <c r="AD679" s="70">
        <v>0</v>
      </c>
      <c r="AE679" s="63">
        <v>40350</v>
      </c>
      <c r="AF679" s="72"/>
      <c r="AG679" s="63" t="s">
        <v>938</v>
      </c>
      <c r="AH679" s="23" t="s">
        <v>939</v>
      </c>
      <c r="AI679" s="60"/>
      <c r="AJ679" s="133" t="s">
        <v>1608</v>
      </c>
      <c r="AK679" s="73" t="s">
        <v>2229</v>
      </c>
      <c r="AL679" s="3"/>
      <c r="AM679" s="4"/>
      <c r="AN679" s="5"/>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6"/>
      <c r="CO679" s="7"/>
      <c r="CP679" s="6"/>
      <c r="CQ679" s="7"/>
      <c r="CR679" s="6"/>
      <c r="CS679" s="7"/>
      <c r="CT679" s="8">
        <f t="shared" si="182"/>
        <v>0</v>
      </c>
      <c r="CU679" s="9"/>
      <c r="CV679" s="10"/>
      <c r="CW679" s="11"/>
      <c r="CX679" s="12"/>
      <c r="CY679" s="26"/>
      <c r="CZ679" s="12"/>
      <c r="DA679" s="9"/>
      <c r="DB679" s="10"/>
      <c r="DC679" s="64"/>
      <c r="DD679" s="22"/>
    </row>
    <row r="680" spans="1:108" s="119" customFormat="1" ht="24" outlineLevel="2">
      <c r="A680" s="178">
        <v>40348</v>
      </c>
      <c r="B680" s="82" t="s">
        <v>1360</v>
      </c>
      <c r="C680" s="82" t="s">
        <v>1860</v>
      </c>
      <c r="D680" s="165" t="s">
        <v>1262</v>
      </c>
      <c r="E680" s="167"/>
      <c r="F680" s="66"/>
      <c r="G680" s="66"/>
      <c r="H680" s="66">
        <v>40</v>
      </c>
      <c r="I680" s="66">
        <v>8</v>
      </c>
      <c r="J680" s="66"/>
      <c r="K680" s="66">
        <v>8</v>
      </c>
      <c r="L680" s="66"/>
      <c r="M680" s="66"/>
      <c r="N680" s="66"/>
      <c r="O680" s="66"/>
      <c r="P680" s="66"/>
      <c r="Q680" s="66"/>
      <c r="R680" s="66"/>
      <c r="S680" s="66"/>
      <c r="T680" s="67"/>
      <c r="U680" s="151"/>
      <c r="V680" s="1"/>
      <c r="W680" s="68">
        <f t="shared" si="177"/>
        <v>0</v>
      </c>
      <c r="X680" s="68">
        <f t="shared" si="178"/>
        <v>0</v>
      </c>
      <c r="Y680" s="68">
        <f t="shared" si="179"/>
        <v>0</v>
      </c>
      <c r="Z680" s="68">
        <f t="shared" si="180"/>
        <v>0</v>
      </c>
      <c r="AA680" s="68"/>
      <c r="AB680" s="68">
        <v>0</v>
      </c>
      <c r="AC680" s="69">
        <f t="shared" si="181"/>
        <v>0</v>
      </c>
      <c r="AD680" s="70">
        <v>0</v>
      </c>
      <c r="AE680" s="63">
        <v>40353</v>
      </c>
      <c r="AF680" s="72"/>
      <c r="AG680" s="63" t="s">
        <v>938</v>
      </c>
      <c r="AH680" s="23" t="s">
        <v>939</v>
      </c>
      <c r="AI680" s="60"/>
      <c r="AJ680" s="133" t="s">
        <v>1608</v>
      </c>
      <c r="AK680" s="73" t="s">
        <v>1861</v>
      </c>
      <c r="AL680" s="3"/>
      <c r="AM680" s="4"/>
      <c r="AN680" s="5"/>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6"/>
      <c r="CO680" s="7"/>
      <c r="CP680" s="6"/>
      <c r="CQ680" s="7"/>
      <c r="CR680" s="6"/>
      <c r="CS680" s="7"/>
      <c r="CT680" s="8">
        <f t="shared" si="182"/>
        <v>0</v>
      </c>
      <c r="CU680" s="9"/>
      <c r="CV680" s="10"/>
      <c r="CW680" s="11"/>
      <c r="CX680" s="12"/>
      <c r="CY680" s="26"/>
      <c r="CZ680" s="12"/>
      <c r="DA680" s="9"/>
      <c r="DB680" s="10"/>
      <c r="DC680" s="64"/>
      <c r="DD680" s="22"/>
    </row>
    <row r="681" spans="1:108" s="119" customFormat="1" ht="36" outlineLevel="2">
      <c r="A681" s="178">
        <v>40358</v>
      </c>
      <c r="B681" s="82" t="s">
        <v>1360</v>
      </c>
      <c r="C681" s="82" t="s">
        <v>1773</v>
      </c>
      <c r="D681" s="165" t="s">
        <v>435</v>
      </c>
      <c r="E681" s="167"/>
      <c r="F681" s="66"/>
      <c r="G681" s="66"/>
      <c r="H681" s="66">
        <v>140</v>
      </c>
      <c r="I681" s="66">
        <v>28</v>
      </c>
      <c r="J681" s="66"/>
      <c r="K681" s="66">
        <v>25</v>
      </c>
      <c r="L681" s="66"/>
      <c r="M681" s="66"/>
      <c r="N681" s="66"/>
      <c r="O681" s="66"/>
      <c r="P681" s="66"/>
      <c r="Q681" s="66"/>
      <c r="R681" s="66"/>
      <c r="S681" s="66"/>
      <c r="T681" s="67"/>
      <c r="U681" s="151"/>
      <c r="V681" s="1"/>
      <c r="W681" s="68">
        <f t="shared" si="177"/>
        <v>0</v>
      </c>
      <c r="X681" s="68">
        <f t="shared" si="178"/>
        <v>0</v>
      </c>
      <c r="Y681" s="68">
        <f t="shared" si="179"/>
        <v>0</v>
      </c>
      <c r="Z681" s="68">
        <f t="shared" si="180"/>
        <v>0</v>
      </c>
      <c r="AA681" s="68"/>
      <c r="AB681" s="68">
        <v>0</v>
      </c>
      <c r="AC681" s="69">
        <f t="shared" si="181"/>
        <v>0</v>
      </c>
      <c r="AD681" s="70">
        <v>0</v>
      </c>
      <c r="AE681" s="63">
        <v>40360</v>
      </c>
      <c r="AF681" s="72"/>
      <c r="AG681" s="63" t="s">
        <v>938</v>
      </c>
      <c r="AH681" s="23" t="s">
        <v>939</v>
      </c>
      <c r="AI681" s="60"/>
      <c r="AJ681" s="133" t="s">
        <v>1608</v>
      </c>
      <c r="AK681" s="73" t="s">
        <v>1774</v>
      </c>
      <c r="AL681" s="3"/>
      <c r="AM681" s="4"/>
      <c r="AN681" s="5"/>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6"/>
      <c r="CO681" s="7"/>
      <c r="CP681" s="6"/>
      <c r="CQ681" s="7"/>
      <c r="CR681" s="6"/>
      <c r="CS681" s="7"/>
      <c r="CT681" s="8">
        <f t="shared" si="182"/>
        <v>0</v>
      </c>
      <c r="CU681" s="9"/>
      <c r="CV681" s="10"/>
      <c r="CW681" s="11"/>
      <c r="CX681" s="12"/>
      <c r="CY681" s="26"/>
      <c r="CZ681" s="12"/>
      <c r="DA681" s="9"/>
      <c r="DB681" s="10"/>
      <c r="DC681" s="64"/>
      <c r="DD681" s="22"/>
    </row>
    <row r="682" spans="1:108" s="119" customFormat="1" ht="204" outlineLevel="2">
      <c r="A682" s="178">
        <v>40374</v>
      </c>
      <c r="B682" s="82" t="s">
        <v>1360</v>
      </c>
      <c r="C682" s="82" t="s">
        <v>1065</v>
      </c>
      <c r="D682" s="165" t="s">
        <v>1262</v>
      </c>
      <c r="E682" s="167"/>
      <c r="F682" s="66"/>
      <c r="G682" s="66"/>
      <c r="H682" s="66">
        <f>1135*5</f>
        <v>5675</v>
      </c>
      <c r="I682" s="66">
        <v>1135</v>
      </c>
      <c r="J682" s="66"/>
      <c r="K682" s="66">
        <v>1135</v>
      </c>
      <c r="L682" s="66"/>
      <c r="M682" s="66"/>
      <c r="N682" s="66"/>
      <c r="O682" s="66"/>
      <c r="P682" s="66"/>
      <c r="Q682" s="66"/>
      <c r="R682" s="66"/>
      <c r="S682" s="66"/>
      <c r="T682" s="67"/>
      <c r="U682" s="151"/>
      <c r="V682" s="1">
        <v>40436</v>
      </c>
      <c r="W682" s="68">
        <f t="shared" si="177"/>
        <v>25057680</v>
      </c>
      <c r="X682" s="68">
        <f t="shared" si="178"/>
        <v>181475000</v>
      </c>
      <c r="Y682" s="68">
        <f t="shared" si="179"/>
        <v>0</v>
      </c>
      <c r="Z682" s="68">
        <f t="shared" si="180"/>
        <v>0</v>
      </c>
      <c r="AA682" s="68"/>
      <c r="AB682" s="68">
        <v>0</v>
      </c>
      <c r="AC682" s="69">
        <f t="shared" si="181"/>
        <v>206532680</v>
      </c>
      <c r="AD682" s="70">
        <v>0</v>
      </c>
      <c r="AE682" s="63">
        <v>40379</v>
      </c>
      <c r="AF682" s="72">
        <v>38767</v>
      </c>
      <c r="AG682" s="63" t="s">
        <v>954</v>
      </c>
      <c r="AH682" s="23" t="s">
        <v>955</v>
      </c>
      <c r="AI682" s="75" t="s">
        <v>694</v>
      </c>
      <c r="AJ682" s="133" t="s">
        <v>415</v>
      </c>
      <c r="AK682" s="73" t="s">
        <v>1804</v>
      </c>
      <c r="AL682" s="3"/>
      <c r="AM682" s="4"/>
      <c r="AN682" s="5"/>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f>10+3</f>
        <v>13</v>
      </c>
      <c r="BY682" s="4">
        <f>10*504600+3*504000</f>
        <v>6558000</v>
      </c>
      <c r="BZ682" s="4"/>
      <c r="CA682" s="4"/>
      <c r="CB682" s="4"/>
      <c r="CC682" s="4"/>
      <c r="CD682" s="4"/>
      <c r="CE682" s="4"/>
      <c r="CF682" s="4"/>
      <c r="CG682" s="4"/>
      <c r="CH682" s="4"/>
      <c r="CI682" s="4"/>
      <c r="CJ682" s="4"/>
      <c r="CK682" s="4"/>
      <c r="CL682" s="4"/>
      <c r="CM682" s="4"/>
      <c r="CN682" s="6">
        <v>500</v>
      </c>
      <c r="CO682" s="7">
        <f>500*36999.36</f>
        <v>18499680</v>
      </c>
      <c r="CP682" s="6"/>
      <c r="CQ682" s="7"/>
      <c r="CR682" s="6"/>
      <c r="CS682" s="7"/>
      <c r="CT682" s="8">
        <f t="shared" si="182"/>
        <v>25057680</v>
      </c>
      <c r="CU682" s="9"/>
      <c r="CV682" s="10"/>
      <c r="CW682" s="11">
        <f>500+1135+500</f>
        <v>2135</v>
      </c>
      <c r="CX682" s="12">
        <f>500*85000+1135*85000+500*85000</f>
        <v>181475000</v>
      </c>
      <c r="CY682" s="26"/>
      <c r="CZ682" s="12"/>
      <c r="DA682" s="9"/>
      <c r="DB682" s="10"/>
      <c r="DC682" s="64"/>
      <c r="DD682" s="22"/>
    </row>
    <row r="683" spans="1:108" s="119" customFormat="1" ht="60" outlineLevel="2">
      <c r="A683" s="178">
        <v>40375</v>
      </c>
      <c r="B683" s="82" t="s">
        <v>1360</v>
      </c>
      <c r="C683" s="174" t="s">
        <v>854</v>
      </c>
      <c r="D683" s="179" t="s">
        <v>1262</v>
      </c>
      <c r="E683" s="163"/>
      <c r="F683" s="105"/>
      <c r="G683" s="105"/>
      <c r="H683" s="105">
        <f>12*5</f>
        <v>60</v>
      </c>
      <c r="I683" s="105">
        <v>12</v>
      </c>
      <c r="J683" s="105">
        <v>12</v>
      </c>
      <c r="K683" s="105"/>
      <c r="L683" s="105"/>
      <c r="M683" s="105"/>
      <c r="N683" s="105"/>
      <c r="O683" s="105"/>
      <c r="P683" s="105"/>
      <c r="Q683" s="105"/>
      <c r="R683" s="105"/>
      <c r="S683" s="105"/>
      <c r="T683" s="106"/>
      <c r="U683" s="130"/>
      <c r="V683" s="1">
        <v>40424</v>
      </c>
      <c r="W683" s="68">
        <f t="shared" si="177"/>
        <v>0</v>
      </c>
      <c r="X683" s="68">
        <f t="shared" si="178"/>
        <v>0</v>
      </c>
      <c r="Y683" s="68">
        <f t="shared" si="179"/>
        <v>0</v>
      </c>
      <c r="Z683" s="68">
        <f t="shared" si="180"/>
        <v>0</v>
      </c>
      <c r="AA683" s="68"/>
      <c r="AB683" s="68">
        <v>165793200</v>
      </c>
      <c r="AC683" s="69">
        <f t="shared" si="181"/>
        <v>165793200</v>
      </c>
      <c r="AD683" s="70">
        <v>0</v>
      </c>
      <c r="AE683" s="63">
        <v>40386</v>
      </c>
      <c r="AF683" s="72">
        <v>37105</v>
      </c>
      <c r="AG683" s="63" t="s">
        <v>954</v>
      </c>
      <c r="AH683" s="23" t="s">
        <v>955</v>
      </c>
      <c r="AI683" s="60">
        <v>29245</v>
      </c>
      <c r="AJ683" s="124" t="s">
        <v>415</v>
      </c>
      <c r="AK683" s="125" t="s">
        <v>2280</v>
      </c>
      <c r="AL683" s="107"/>
      <c r="AM683" s="108"/>
      <c r="AN683" s="109"/>
      <c r="AO683" s="108"/>
      <c r="AP683" s="108"/>
      <c r="AQ683" s="108"/>
      <c r="AR683" s="108"/>
      <c r="AS683" s="108"/>
      <c r="AT683" s="108"/>
      <c r="AU683" s="108"/>
      <c r="AV683" s="108"/>
      <c r="AW683" s="108"/>
      <c r="AX683" s="108"/>
      <c r="AY683" s="108"/>
      <c r="AZ683" s="108"/>
      <c r="BA683" s="108"/>
      <c r="BB683" s="108"/>
      <c r="BC683" s="108"/>
      <c r="BD683" s="108"/>
      <c r="BE683" s="108"/>
      <c r="BF683" s="108"/>
      <c r="BG683" s="108"/>
      <c r="BH683" s="108"/>
      <c r="BI683" s="108"/>
      <c r="BJ683" s="108"/>
      <c r="BK683" s="108"/>
      <c r="BL683" s="108"/>
      <c r="BM683" s="108"/>
      <c r="BN683" s="108"/>
      <c r="BO683" s="108"/>
      <c r="BP683" s="108"/>
      <c r="BQ683" s="108"/>
      <c r="BR683" s="108"/>
      <c r="BS683" s="108"/>
      <c r="BT683" s="108"/>
      <c r="BU683" s="108"/>
      <c r="BV683" s="108"/>
      <c r="BW683" s="108"/>
      <c r="BX683" s="108"/>
      <c r="BY683" s="108"/>
      <c r="BZ683" s="108"/>
      <c r="CA683" s="108"/>
      <c r="CB683" s="108"/>
      <c r="CC683" s="108"/>
      <c r="CD683" s="108"/>
      <c r="CE683" s="108"/>
      <c r="CF683" s="108"/>
      <c r="CG683" s="108"/>
      <c r="CH683" s="108"/>
      <c r="CI683" s="108"/>
      <c r="CJ683" s="108"/>
      <c r="CK683" s="108"/>
      <c r="CL683" s="108"/>
      <c r="CM683" s="108"/>
      <c r="CN683" s="110"/>
      <c r="CO683" s="111"/>
      <c r="CP683" s="110"/>
      <c r="CQ683" s="111"/>
      <c r="CR683" s="110"/>
      <c r="CS683" s="111"/>
      <c r="CT683" s="112">
        <f t="shared" si="182"/>
        <v>0</v>
      </c>
      <c r="CU683" s="113"/>
      <c r="CV683" s="114"/>
      <c r="CW683" s="115"/>
      <c r="CX683" s="116"/>
      <c r="CY683" s="117"/>
      <c r="CZ683" s="116"/>
      <c r="DA683" s="113"/>
      <c r="DB683" s="114"/>
      <c r="DC683" s="64">
        <v>8</v>
      </c>
      <c r="DD683" s="118"/>
    </row>
    <row r="684" spans="1:108" s="119" customFormat="1" ht="84" outlineLevel="2">
      <c r="A684" s="178">
        <v>40376</v>
      </c>
      <c r="B684" s="82" t="s">
        <v>1360</v>
      </c>
      <c r="C684" s="82" t="s">
        <v>1953</v>
      </c>
      <c r="D684" s="165" t="s">
        <v>1262</v>
      </c>
      <c r="E684" s="167"/>
      <c r="F684" s="66"/>
      <c r="G684" s="66"/>
      <c r="H684" s="66">
        <f>557*5</f>
        <v>2785</v>
      </c>
      <c r="I684" s="66">
        <v>557</v>
      </c>
      <c r="J684" s="66"/>
      <c r="K684" s="66">
        <v>557</v>
      </c>
      <c r="L684" s="66"/>
      <c r="M684" s="66"/>
      <c r="N684" s="66"/>
      <c r="O684" s="66"/>
      <c r="P684" s="66"/>
      <c r="Q684" s="66"/>
      <c r="R684" s="66"/>
      <c r="S684" s="66"/>
      <c r="T684" s="67"/>
      <c r="U684" s="151"/>
      <c r="V684" s="1">
        <v>40437</v>
      </c>
      <c r="W684" s="68">
        <f t="shared" si="177"/>
        <v>12107808</v>
      </c>
      <c r="X684" s="68">
        <f t="shared" si="178"/>
        <v>72845000</v>
      </c>
      <c r="Y684" s="68">
        <f t="shared" si="179"/>
        <v>0</v>
      </c>
      <c r="Z684" s="68">
        <f t="shared" si="180"/>
        <v>0</v>
      </c>
      <c r="AA684" s="68"/>
      <c r="AB684" s="68">
        <v>0</v>
      </c>
      <c r="AC684" s="69">
        <f t="shared" si="181"/>
        <v>84952808</v>
      </c>
      <c r="AD684" s="70">
        <v>0</v>
      </c>
      <c r="AE684" s="63">
        <v>40346</v>
      </c>
      <c r="AF684" s="72">
        <v>38767</v>
      </c>
      <c r="AG684" s="63" t="s">
        <v>954</v>
      </c>
      <c r="AH684" s="23" t="s">
        <v>955</v>
      </c>
      <c r="AI684" s="75" t="s">
        <v>405</v>
      </c>
      <c r="AJ684" s="133" t="s">
        <v>415</v>
      </c>
      <c r="AK684" s="73" t="s">
        <v>1392</v>
      </c>
      <c r="AL684" s="3"/>
      <c r="AM684" s="4"/>
      <c r="AN684" s="5"/>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v>2</v>
      </c>
      <c r="BY684" s="4">
        <f>2*504000</f>
        <v>1008000</v>
      </c>
      <c r="BZ684" s="4"/>
      <c r="CA684" s="4"/>
      <c r="CB684" s="4"/>
      <c r="CC684" s="4"/>
      <c r="CD684" s="4"/>
      <c r="CE684" s="4"/>
      <c r="CF684" s="4"/>
      <c r="CG684" s="4"/>
      <c r="CH684" s="4"/>
      <c r="CI684" s="4"/>
      <c r="CJ684" s="4"/>
      <c r="CK684" s="4"/>
      <c r="CL684" s="4"/>
      <c r="CM684" s="4"/>
      <c r="CN684" s="6">
        <v>300</v>
      </c>
      <c r="CO684" s="7">
        <f>300*36999.36</f>
        <v>11099808</v>
      </c>
      <c r="CP684" s="6"/>
      <c r="CQ684" s="7"/>
      <c r="CR684" s="6"/>
      <c r="CS684" s="7"/>
      <c r="CT684" s="8">
        <f t="shared" si="182"/>
        <v>12107808</v>
      </c>
      <c r="CU684" s="9"/>
      <c r="CV684" s="10"/>
      <c r="CW684" s="11">
        <f>300+557</f>
        <v>857</v>
      </c>
      <c r="CX684" s="12">
        <f>300*85000+557*85000</f>
        <v>72845000</v>
      </c>
      <c r="CY684" s="26"/>
      <c r="CZ684" s="12"/>
      <c r="DA684" s="9"/>
      <c r="DB684" s="10"/>
      <c r="DC684" s="64"/>
      <c r="DD684" s="22"/>
    </row>
    <row r="685" spans="1:108" s="119" customFormat="1" ht="192" outlineLevel="2">
      <c r="A685" s="178">
        <v>40376</v>
      </c>
      <c r="B685" s="82" t="s">
        <v>1360</v>
      </c>
      <c r="C685" s="82" t="s">
        <v>1955</v>
      </c>
      <c r="D685" s="165" t="s">
        <v>1262</v>
      </c>
      <c r="E685" s="167"/>
      <c r="F685" s="66"/>
      <c r="G685" s="66"/>
      <c r="H685" s="66">
        <v>2770</v>
      </c>
      <c r="I685" s="66">
        <v>530</v>
      </c>
      <c r="J685" s="66"/>
      <c r="K685" s="66">
        <v>530</v>
      </c>
      <c r="L685" s="66"/>
      <c r="M685" s="66"/>
      <c r="N685" s="66"/>
      <c r="O685" s="66"/>
      <c r="P685" s="66"/>
      <c r="Q685" s="66"/>
      <c r="R685" s="66"/>
      <c r="S685" s="66"/>
      <c r="T685" s="67"/>
      <c r="U685" s="151"/>
      <c r="V685" s="1">
        <v>40436</v>
      </c>
      <c r="W685" s="68">
        <f t="shared" si="177"/>
        <v>14592806.4</v>
      </c>
      <c r="X685" s="68">
        <f t="shared" si="178"/>
        <v>108800000</v>
      </c>
      <c r="Y685" s="68">
        <f t="shared" si="179"/>
        <v>0</v>
      </c>
      <c r="Z685" s="68">
        <f t="shared" si="180"/>
        <v>0</v>
      </c>
      <c r="AA685" s="68"/>
      <c r="AB685" s="68">
        <v>0</v>
      </c>
      <c r="AC685" s="69">
        <f t="shared" si="181"/>
        <v>123392806.40000001</v>
      </c>
      <c r="AD685" s="70">
        <v>0</v>
      </c>
      <c r="AE685" s="63">
        <v>40377</v>
      </c>
      <c r="AF685" s="72">
        <v>38767</v>
      </c>
      <c r="AG685" s="63" t="s">
        <v>954</v>
      </c>
      <c r="AH685" s="23" t="s">
        <v>955</v>
      </c>
      <c r="AI685" s="75" t="s">
        <v>404</v>
      </c>
      <c r="AJ685" s="133" t="s">
        <v>415</v>
      </c>
      <c r="AK685" s="73" t="s">
        <v>2284</v>
      </c>
      <c r="AL685" s="3"/>
      <c r="AM685" s="4"/>
      <c r="AN685" s="5"/>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f>5+2</f>
        <v>7</v>
      </c>
      <c r="BY685" s="4">
        <f>5*496999.68+2*504000</f>
        <v>3492998.4</v>
      </c>
      <c r="BZ685" s="4"/>
      <c r="CA685" s="4"/>
      <c r="CB685" s="4"/>
      <c r="CC685" s="4"/>
      <c r="CD685" s="4"/>
      <c r="CE685" s="4"/>
      <c r="CF685" s="4"/>
      <c r="CG685" s="4"/>
      <c r="CH685" s="4"/>
      <c r="CI685" s="4"/>
      <c r="CJ685" s="4"/>
      <c r="CK685" s="4"/>
      <c r="CL685" s="4"/>
      <c r="CM685" s="4"/>
      <c r="CN685" s="6">
        <v>300</v>
      </c>
      <c r="CO685" s="7">
        <f>300*36999.36</f>
        <v>11099808</v>
      </c>
      <c r="CP685" s="6"/>
      <c r="CQ685" s="7"/>
      <c r="CR685" s="6"/>
      <c r="CS685" s="7"/>
      <c r="CT685" s="8">
        <f t="shared" si="182"/>
        <v>14592806.4</v>
      </c>
      <c r="CU685" s="9"/>
      <c r="CV685" s="10"/>
      <c r="CW685" s="11">
        <f>300+450+530</f>
        <v>1280</v>
      </c>
      <c r="CX685" s="12">
        <f>300*85000+450*85000+530*85000</f>
        <v>108800000</v>
      </c>
      <c r="CY685" s="26"/>
      <c r="CZ685" s="12"/>
      <c r="DA685" s="9"/>
      <c r="DB685" s="10"/>
      <c r="DC685" s="64"/>
      <c r="DD685" s="22"/>
    </row>
    <row r="686" spans="1:108" s="119" customFormat="1" ht="84" outlineLevel="2">
      <c r="A686" s="178">
        <v>40377</v>
      </c>
      <c r="B686" s="82" t="s">
        <v>1360</v>
      </c>
      <c r="C686" s="82" t="s">
        <v>1066</v>
      </c>
      <c r="D686" s="165" t="s">
        <v>1262</v>
      </c>
      <c r="E686" s="167"/>
      <c r="F686" s="66"/>
      <c r="G686" s="66"/>
      <c r="H686" s="66">
        <f>202*5</f>
        <v>1010</v>
      </c>
      <c r="I686" s="66">
        <v>202</v>
      </c>
      <c r="J686" s="66"/>
      <c r="K686" s="66">
        <v>202</v>
      </c>
      <c r="L686" s="66"/>
      <c r="M686" s="66"/>
      <c r="N686" s="66"/>
      <c r="O686" s="66"/>
      <c r="P686" s="66"/>
      <c r="Q686" s="66"/>
      <c r="R686" s="66"/>
      <c r="S686" s="66"/>
      <c r="T686" s="67"/>
      <c r="U686" s="151"/>
      <c r="V686" s="1">
        <v>40429</v>
      </c>
      <c r="W686" s="68">
        <f t="shared" si="177"/>
        <v>14900000</v>
      </c>
      <c r="X686" s="68">
        <f t="shared" si="178"/>
        <v>34170000</v>
      </c>
      <c r="Y686" s="68">
        <f t="shared" si="179"/>
        <v>0</v>
      </c>
      <c r="Z686" s="68">
        <f t="shared" si="180"/>
        <v>0</v>
      </c>
      <c r="AA686" s="68"/>
      <c r="AB686" s="68">
        <v>0</v>
      </c>
      <c r="AC686" s="69">
        <f t="shared" si="181"/>
        <v>49070000</v>
      </c>
      <c r="AD686" s="70">
        <v>0</v>
      </c>
      <c r="AE686" s="63">
        <v>40394</v>
      </c>
      <c r="AF686" s="72">
        <v>38767</v>
      </c>
      <c r="AG686" s="63" t="s">
        <v>954</v>
      </c>
      <c r="AH686" s="23" t="s">
        <v>955</v>
      </c>
      <c r="AI686" s="60">
        <v>295</v>
      </c>
      <c r="AJ686" s="133" t="s">
        <v>1745</v>
      </c>
      <c r="AK686" s="73" t="s">
        <v>2283</v>
      </c>
      <c r="AL686" s="3"/>
      <c r="AM686" s="4"/>
      <c r="AN686" s="5"/>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6">
        <v>200</v>
      </c>
      <c r="CO686" s="7">
        <f>200*38500</f>
        <v>7700000</v>
      </c>
      <c r="CP686" s="6">
        <v>200</v>
      </c>
      <c r="CQ686" s="7">
        <f>200*36000</f>
        <v>7200000</v>
      </c>
      <c r="CR686" s="6"/>
      <c r="CS686" s="7"/>
      <c r="CT686" s="8">
        <f t="shared" si="182"/>
        <v>14900000</v>
      </c>
      <c r="CU686" s="9"/>
      <c r="CV686" s="10"/>
      <c r="CW686" s="11">
        <f>200+202</f>
        <v>402</v>
      </c>
      <c r="CX686" s="12">
        <f>200*85000+202*85000</f>
        <v>34170000</v>
      </c>
      <c r="CY686" s="26"/>
      <c r="CZ686" s="12"/>
      <c r="DA686" s="9"/>
      <c r="DB686" s="10"/>
      <c r="DC686" s="64"/>
      <c r="DD686" s="22"/>
    </row>
    <row r="687" spans="1:108" s="119" customFormat="1" ht="120" outlineLevel="2">
      <c r="A687" s="178">
        <v>40378</v>
      </c>
      <c r="B687" s="82" t="s">
        <v>1360</v>
      </c>
      <c r="C687" s="82" t="s">
        <v>854</v>
      </c>
      <c r="D687" s="165" t="s">
        <v>1262</v>
      </c>
      <c r="E687" s="167"/>
      <c r="F687" s="66"/>
      <c r="G687" s="66"/>
      <c r="H687" s="105">
        <f>6325*5</f>
        <v>31625</v>
      </c>
      <c r="I687" s="105">
        <v>6325</v>
      </c>
      <c r="J687" s="105"/>
      <c r="K687" s="105">
        <v>6325</v>
      </c>
      <c r="L687" s="66"/>
      <c r="M687" s="66"/>
      <c r="N687" s="66"/>
      <c r="O687" s="66"/>
      <c r="P687" s="66"/>
      <c r="Q687" s="66"/>
      <c r="R687" s="66"/>
      <c r="S687" s="66"/>
      <c r="T687" s="67"/>
      <c r="U687" s="151"/>
      <c r="V687" s="1">
        <v>40437</v>
      </c>
      <c r="W687" s="68">
        <f t="shared" si="177"/>
        <v>12949776</v>
      </c>
      <c r="X687" s="68">
        <f t="shared" si="178"/>
        <v>29750000</v>
      </c>
      <c r="Y687" s="68">
        <f t="shared" si="179"/>
        <v>0</v>
      </c>
      <c r="Z687" s="68">
        <f t="shared" si="180"/>
        <v>0</v>
      </c>
      <c r="AA687" s="68"/>
      <c r="AB687" s="68">
        <v>0</v>
      </c>
      <c r="AC687" s="69">
        <f t="shared" si="181"/>
        <v>42699776</v>
      </c>
      <c r="AD687" s="70">
        <v>0</v>
      </c>
      <c r="AE687" s="63">
        <v>40381</v>
      </c>
      <c r="AF687" s="72">
        <v>38767</v>
      </c>
      <c r="AG687" s="63" t="s">
        <v>954</v>
      </c>
      <c r="AH687" s="23" t="s">
        <v>955</v>
      </c>
      <c r="AI687" s="75" t="s">
        <v>1341</v>
      </c>
      <c r="AJ687" s="133" t="s">
        <v>415</v>
      </c>
      <c r="AK687" s="129" t="s">
        <v>2289</v>
      </c>
      <c r="AL687" s="3"/>
      <c r="AM687" s="4"/>
      <c r="AN687" s="5"/>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6">
        <v>350</v>
      </c>
      <c r="CO687" s="7">
        <f>350*36999.36</f>
        <v>12949776</v>
      </c>
      <c r="CP687" s="6"/>
      <c r="CQ687" s="7"/>
      <c r="CR687" s="6"/>
      <c r="CS687" s="7"/>
      <c r="CT687" s="8">
        <f t="shared" si="182"/>
        <v>12949776</v>
      </c>
      <c r="CU687" s="9"/>
      <c r="CV687" s="10"/>
      <c r="CW687" s="11">
        <v>350</v>
      </c>
      <c r="CX687" s="12">
        <f>350*85000</f>
        <v>29750000</v>
      </c>
      <c r="CY687" s="26"/>
      <c r="CZ687" s="12"/>
      <c r="DA687" s="9"/>
      <c r="DB687" s="10"/>
      <c r="DC687" s="64"/>
      <c r="DD687" s="22">
        <v>1175</v>
      </c>
    </row>
    <row r="688" spans="1:108" s="119" customFormat="1" ht="45" outlineLevel="2">
      <c r="A688" s="178">
        <v>40378</v>
      </c>
      <c r="B688" s="82" t="s">
        <v>1360</v>
      </c>
      <c r="C688" s="82" t="s">
        <v>1063</v>
      </c>
      <c r="D688" s="165" t="s">
        <v>1262</v>
      </c>
      <c r="E688" s="167"/>
      <c r="F688" s="66"/>
      <c r="G688" s="66"/>
      <c r="H688" s="66">
        <f>88*5</f>
        <v>440</v>
      </c>
      <c r="I688" s="66">
        <v>88</v>
      </c>
      <c r="J688" s="66"/>
      <c r="K688" s="66">
        <v>88</v>
      </c>
      <c r="L688" s="66"/>
      <c r="M688" s="66"/>
      <c r="N688" s="66"/>
      <c r="O688" s="66"/>
      <c r="P688" s="66"/>
      <c r="Q688" s="66"/>
      <c r="R688" s="66"/>
      <c r="S688" s="66"/>
      <c r="T688" s="67"/>
      <c r="U688" s="151"/>
      <c r="V688" s="1"/>
      <c r="W688" s="68">
        <f t="shared" si="177"/>
        <v>0</v>
      </c>
      <c r="X688" s="68">
        <f t="shared" si="178"/>
        <v>7480000</v>
      </c>
      <c r="Y688" s="68">
        <f t="shared" si="179"/>
        <v>0</v>
      </c>
      <c r="Z688" s="68">
        <f t="shared" si="180"/>
        <v>0</v>
      </c>
      <c r="AA688" s="68"/>
      <c r="AB688" s="68">
        <v>0</v>
      </c>
      <c r="AC688" s="69">
        <f t="shared" si="181"/>
        <v>7480000</v>
      </c>
      <c r="AD688" s="70">
        <v>0</v>
      </c>
      <c r="AE688" s="63">
        <v>40379</v>
      </c>
      <c r="AF688" s="72"/>
      <c r="AG688" s="63" t="s">
        <v>954</v>
      </c>
      <c r="AH688" s="23" t="s">
        <v>955</v>
      </c>
      <c r="AI688" s="60"/>
      <c r="AJ688" s="133" t="s">
        <v>415</v>
      </c>
      <c r="AK688" s="73" t="s">
        <v>1064</v>
      </c>
      <c r="AL688" s="3"/>
      <c r="AM688" s="4"/>
      <c r="AN688" s="5"/>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6"/>
      <c r="CO688" s="7"/>
      <c r="CP688" s="6"/>
      <c r="CQ688" s="7"/>
      <c r="CR688" s="6"/>
      <c r="CS688" s="7"/>
      <c r="CT688" s="8">
        <f t="shared" si="182"/>
        <v>0</v>
      </c>
      <c r="CU688" s="9"/>
      <c r="CV688" s="10"/>
      <c r="CW688" s="11">
        <v>88</v>
      </c>
      <c r="CX688" s="12">
        <f>88*85000</f>
        <v>7480000</v>
      </c>
      <c r="CY688" s="26"/>
      <c r="CZ688" s="12"/>
      <c r="DA688" s="9"/>
      <c r="DB688" s="10"/>
      <c r="DC688" s="64"/>
      <c r="DD688" s="22"/>
    </row>
    <row r="689" spans="1:108" s="119" customFormat="1" ht="168" outlineLevel="2">
      <c r="A689" s="178">
        <v>40380</v>
      </c>
      <c r="B689" s="82" t="s">
        <v>1360</v>
      </c>
      <c r="C689" s="82" t="s">
        <v>1101</v>
      </c>
      <c r="D689" s="165" t="s">
        <v>1262</v>
      </c>
      <c r="E689" s="167"/>
      <c r="F689" s="66"/>
      <c r="G689" s="66"/>
      <c r="H689" s="66">
        <f>858*5</f>
        <v>4290</v>
      </c>
      <c r="I689" s="66">
        <v>858</v>
      </c>
      <c r="J689" s="66"/>
      <c r="K689" s="66">
        <v>858</v>
      </c>
      <c r="L689" s="66"/>
      <c r="M689" s="66"/>
      <c r="N689" s="66"/>
      <c r="O689" s="66"/>
      <c r="P689" s="66"/>
      <c r="Q689" s="66"/>
      <c r="R689" s="66"/>
      <c r="S689" s="66"/>
      <c r="T689" s="67"/>
      <c r="U689" s="151"/>
      <c r="V689" s="1">
        <v>40436</v>
      </c>
      <c r="W689" s="68">
        <f t="shared" si="177"/>
        <v>23711616</v>
      </c>
      <c r="X689" s="68">
        <f t="shared" si="178"/>
        <v>123930000</v>
      </c>
      <c r="Y689" s="68">
        <f t="shared" si="179"/>
        <v>0</v>
      </c>
      <c r="Z689" s="68">
        <f t="shared" si="180"/>
        <v>0</v>
      </c>
      <c r="AA689" s="68"/>
      <c r="AB689" s="68">
        <v>0</v>
      </c>
      <c r="AC689" s="69">
        <f t="shared" si="181"/>
        <v>147641616</v>
      </c>
      <c r="AD689" s="70">
        <v>0</v>
      </c>
      <c r="AE689" s="63">
        <v>40381</v>
      </c>
      <c r="AF689" s="72">
        <v>38767</v>
      </c>
      <c r="AG689" s="63" t="s">
        <v>954</v>
      </c>
      <c r="AH689" s="23" t="s">
        <v>955</v>
      </c>
      <c r="AI689" s="75" t="s">
        <v>402</v>
      </c>
      <c r="AJ689" s="133" t="s">
        <v>415</v>
      </c>
      <c r="AK689" s="129" t="s">
        <v>1967</v>
      </c>
      <c r="AL689" s="3"/>
      <c r="AM689" s="4"/>
      <c r="AN689" s="5"/>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v>3</v>
      </c>
      <c r="BY689" s="4">
        <f>3*504000</f>
        <v>1512000</v>
      </c>
      <c r="BZ689" s="4"/>
      <c r="CA689" s="4"/>
      <c r="CB689" s="4"/>
      <c r="CC689" s="4"/>
      <c r="CD689" s="4"/>
      <c r="CE689" s="4"/>
      <c r="CF689" s="4"/>
      <c r="CG689" s="4"/>
      <c r="CH689" s="4"/>
      <c r="CI689" s="4"/>
      <c r="CJ689" s="4"/>
      <c r="CK689" s="4"/>
      <c r="CL689" s="4"/>
      <c r="CM689" s="4"/>
      <c r="CN689" s="6">
        <v>600</v>
      </c>
      <c r="CO689" s="7">
        <f>600*36999.36</f>
        <v>22199616</v>
      </c>
      <c r="CP689" s="6"/>
      <c r="CQ689" s="7"/>
      <c r="CR689" s="6"/>
      <c r="CS689" s="7"/>
      <c r="CT689" s="8">
        <f t="shared" si="182"/>
        <v>23711616</v>
      </c>
      <c r="CU689" s="9"/>
      <c r="CV689" s="10"/>
      <c r="CW689" s="11">
        <f>600+858</f>
        <v>1458</v>
      </c>
      <c r="CX689" s="12">
        <f>600*85000+858*85000</f>
        <v>123930000</v>
      </c>
      <c r="CY689" s="26"/>
      <c r="CZ689" s="12"/>
      <c r="DA689" s="9"/>
      <c r="DB689" s="10"/>
      <c r="DC689" s="64"/>
      <c r="DD689" s="22"/>
    </row>
    <row r="690" spans="1:108" s="119" customFormat="1" ht="228" outlineLevel="2">
      <c r="A690" s="178">
        <v>40380</v>
      </c>
      <c r="B690" s="82" t="s">
        <v>1360</v>
      </c>
      <c r="C690" s="82" t="s">
        <v>2298</v>
      </c>
      <c r="D690" s="165" t="s">
        <v>1262</v>
      </c>
      <c r="E690" s="167"/>
      <c r="F690" s="66"/>
      <c r="G690" s="66"/>
      <c r="H690" s="87">
        <f>1565*5</f>
        <v>7825</v>
      </c>
      <c r="I690" s="66">
        <v>1565</v>
      </c>
      <c r="J690" s="66"/>
      <c r="K690" s="66">
        <v>1565</v>
      </c>
      <c r="L690" s="66"/>
      <c r="M690" s="66"/>
      <c r="N690" s="66"/>
      <c r="O690" s="66"/>
      <c r="P690" s="66"/>
      <c r="Q690" s="66"/>
      <c r="R690" s="66"/>
      <c r="S690" s="66"/>
      <c r="T690" s="67"/>
      <c r="U690" s="151"/>
      <c r="V690" s="1">
        <v>40429</v>
      </c>
      <c r="W690" s="68">
        <f t="shared" si="177"/>
        <v>33192742.399999999</v>
      </c>
      <c r="X690" s="68">
        <f t="shared" si="178"/>
        <v>354025000</v>
      </c>
      <c r="Y690" s="68">
        <f t="shared" si="179"/>
        <v>0</v>
      </c>
      <c r="Z690" s="68">
        <f t="shared" si="180"/>
        <v>0</v>
      </c>
      <c r="AA690" s="68"/>
      <c r="AB690" s="68">
        <v>0</v>
      </c>
      <c r="AC690" s="69">
        <f t="shared" si="181"/>
        <v>387217742.39999998</v>
      </c>
      <c r="AD690" s="70">
        <v>0</v>
      </c>
      <c r="AE690" s="63">
        <v>40394</v>
      </c>
      <c r="AF690" s="72">
        <v>38767</v>
      </c>
      <c r="AG690" s="63" t="s">
        <v>954</v>
      </c>
      <c r="AH690" s="23" t="s">
        <v>955</v>
      </c>
      <c r="AI690" s="75" t="s">
        <v>403</v>
      </c>
      <c r="AJ690" s="133" t="s">
        <v>1745</v>
      </c>
      <c r="AK690" s="73" t="s">
        <v>2282</v>
      </c>
      <c r="AL690" s="3"/>
      <c r="AM690" s="4"/>
      <c r="AN690" s="5"/>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f>5+2</f>
        <v>7</v>
      </c>
      <c r="BY690" s="4">
        <f>5*496999.68+2*504000</f>
        <v>3492998.4</v>
      </c>
      <c r="BZ690" s="4"/>
      <c r="CA690" s="4"/>
      <c r="CB690" s="4"/>
      <c r="CC690" s="4"/>
      <c r="CD690" s="4"/>
      <c r="CE690" s="4"/>
      <c r="CF690" s="4"/>
      <c r="CG690" s="4"/>
      <c r="CH690" s="4"/>
      <c r="CI690" s="4"/>
      <c r="CJ690" s="4"/>
      <c r="CK690" s="4"/>
      <c r="CL690" s="4"/>
      <c r="CM690" s="4"/>
      <c r="CN690" s="6">
        <f>200+400</f>
        <v>600</v>
      </c>
      <c r="CO690" s="7">
        <f>200*38500+400*36999.36</f>
        <v>22499744</v>
      </c>
      <c r="CP690" s="6">
        <v>200</v>
      </c>
      <c r="CQ690" s="7">
        <f>200*36000</f>
        <v>7200000</v>
      </c>
      <c r="CR690" s="6"/>
      <c r="CS690" s="7"/>
      <c r="CT690" s="8">
        <f t="shared" si="182"/>
        <v>33192742.399999999</v>
      </c>
      <c r="CU690" s="9"/>
      <c r="CV690" s="10"/>
      <c r="CW690" s="11">
        <f>200+400+2000+1565</f>
        <v>4165</v>
      </c>
      <c r="CX690" s="12">
        <f>200*85000+400*85000+2000*85000+1565*85000</f>
        <v>354025000</v>
      </c>
      <c r="CY690" s="26"/>
      <c r="CZ690" s="12"/>
      <c r="DA690" s="9"/>
      <c r="DB690" s="10"/>
      <c r="DC690" s="64"/>
      <c r="DD690" s="22"/>
    </row>
    <row r="691" spans="1:108" s="119" customFormat="1" ht="324" outlineLevel="2">
      <c r="A691" s="178">
        <v>40389</v>
      </c>
      <c r="B691" s="82" t="s">
        <v>1360</v>
      </c>
      <c r="C691" s="82" t="s">
        <v>2228</v>
      </c>
      <c r="D691" s="165" t="s">
        <v>1262</v>
      </c>
      <c r="E691" s="167"/>
      <c r="F691" s="66"/>
      <c r="G691" s="66"/>
      <c r="H691" s="66">
        <v>17500</v>
      </c>
      <c r="I691" s="66">
        <v>3500</v>
      </c>
      <c r="J691" s="66"/>
      <c r="K691" s="66">
        <v>3500</v>
      </c>
      <c r="L691" s="66">
        <v>1</v>
      </c>
      <c r="M691" s="66"/>
      <c r="N691" s="66"/>
      <c r="O691" s="66"/>
      <c r="P691" s="66"/>
      <c r="Q691" s="66"/>
      <c r="R691" s="66"/>
      <c r="S691" s="66"/>
      <c r="T691" s="67"/>
      <c r="U691" s="151"/>
      <c r="V691" s="1">
        <v>40410</v>
      </c>
      <c r="W691" s="68">
        <f t="shared" si="177"/>
        <v>147178000</v>
      </c>
      <c r="X691" s="68">
        <f t="shared" si="178"/>
        <v>170000000</v>
      </c>
      <c r="Y691" s="68">
        <f t="shared" si="179"/>
        <v>0</v>
      </c>
      <c r="Z691" s="68">
        <f t="shared" si="180"/>
        <v>0</v>
      </c>
      <c r="AA691" s="68">
        <f>200*62640</f>
        <v>12528000</v>
      </c>
      <c r="AB691" s="68">
        <v>0</v>
      </c>
      <c r="AC691" s="69">
        <f t="shared" si="181"/>
        <v>329706000</v>
      </c>
      <c r="AD691" s="70">
        <v>0</v>
      </c>
      <c r="AE691" s="63">
        <v>40392</v>
      </c>
      <c r="AF691" s="72">
        <v>38767</v>
      </c>
      <c r="AG691" s="63" t="s">
        <v>954</v>
      </c>
      <c r="AH691" s="23" t="s">
        <v>955</v>
      </c>
      <c r="AI691" s="75" t="s">
        <v>2341</v>
      </c>
      <c r="AJ691" s="133" t="s">
        <v>1476</v>
      </c>
      <c r="AK691" s="74" t="s">
        <v>2342</v>
      </c>
      <c r="AL691" s="84"/>
      <c r="AM691" s="4"/>
      <c r="AN691" s="5"/>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6">
        <f>500+1500</f>
        <v>2000</v>
      </c>
      <c r="CO691" s="7">
        <f>500*38500+1500*36952</f>
        <v>74678000</v>
      </c>
      <c r="CP691" s="6">
        <f>500+1500</f>
        <v>2000</v>
      </c>
      <c r="CQ691" s="7">
        <f>500*37000+1500*36000</f>
        <v>72500000</v>
      </c>
      <c r="CR691" s="6"/>
      <c r="CS691" s="7"/>
      <c r="CT691" s="8">
        <f t="shared" si="182"/>
        <v>147178000</v>
      </c>
      <c r="CU691" s="9"/>
      <c r="CV691" s="10"/>
      <c r="CW691" s="11">
        <f>500+1500</f>
        <v>2000</v>
      </c>
      <c r="CX691" s="12">
        <f>500*85000+1500*85000</f>
        <v>170000000</v>
      </c>
      <c r="CY691" s="26"/>
      <c r="CZ691" s="12"/>
      <c r="DA691" s="9"/>
      <c r="DB691" s="10"/>
      <c r="DC691" s="64"/>
      <c r="DD691" s="22"/>
    </row>
    <row r="692" spans="1:108" s="119" customFormat="1" ht="33.75" outlineLevel="2">
      <c r="A692" s="178">
        <v>40389</v>
      </c>
      <c r="B692" s="82" t="s">
        <v>1360</v>
      </c>
      <c r="C692" s="82" t="s">
        <v>1984</v>
      </c>
      <c r="D692" s="165" t="s">
        <v>1262</v>
      </c>
      <c r="E692" s="167"/>
      <c r="F692" s="66"/>
      <c r="G692" s="66"/>
      <c r="H692" s="66">
        <f>4300*5</f>
        <v>21500</v>
      </c>
      <c r="I692" s="66">
        <v>4300</v>
      </c>
      <c r="J692" s="66"/>
      <c r="K692" s="66"/>
      <c r="L692" s="66"/>
      <c r="M692" s="66"/>
      <c r="N692" s="66"/>
      <c r="O692" s="66"/>
      <c r="P692" s="66"/>
      <c r="Q692" s="66"/>
      <c r="R692" s="66"/>
      <c r="S692" s="66"/>
      <c r="T692" s="67"/>
      <c r="U692" s="151"/>
      <c r="V692" s="1"/>
      <c r="W692" s="68">
        <f t="shared" si="177"/>
        <v>30484998.399999999</v>
      </c>
      <c r="X692" s="68">
        <f t="shared" si="178"/>
        <v>382500000</v>
      </c>
      <c r="Y692" s="68">
        <f t="shared" si="179"/>
        <v>0</v>
      </c>
      <c r="Z692" s="68">
        <f t="shared" si="180"/>
        <v>0</v>
      </c>
      <c r="AA692" s="68"/>
      <c r="AB692" s="68">
        <v>0</v>
      </c>
      <c r="AC692" s="69">
        <f t="shared" si="181"/>
        <v>412984998.39999998</v>
      </c>
      <c r="AD692" s="70">
        <f>47350000-17000000-5*496999.68-2800000</f>
        <v>25065001.600000001</v>
      </c>
      <c r="AE692" s="63">
        <v>40392</v>
      </c>
      <c r="AF692" s="72"/>
      <c r="AG692" s="63" t="s">
        <v>954</v>
      </c>
      <c r="AH692" s="23" t="s">
        <v>955</v>
      </c>
      <c r="AI692" s="75" t="s">
        <v>1806</v>
      </c>
      <c r="AJ692" s="133" t="s">
        <v>1476</v>
      </c>
      <c r="AK692" s="74" t="s">
        <v>1900</v>
      </c>
      <c r="AL692" s="84"/>
      <c r="AM692" s="4"/>
      <c r="AN692" s="5"/>
      <c r="AO692" s="4"/>
      <c r="AP692" s="4"/>
      <c r="AQ692" s="4"/>
      <c r="AR692" s="4"/>
      <c r="AS692" s="4"/>
      <c r="AT692" s="4"/>
      <c r="AU692" s="4"/>
      <c r="AV692" s="4"/>
      <c r="AW692" s="4"/>
      <c r="AX692" s="4">
        <v>500</v>
      </c>
      <c r="AY692" s="4">
        <f>500*56000</f>
        <v>28000000</v>
      </c>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v>5</v>
      </c>
      <c r="BY692" s="4">
        <f>5*496999.68</f>
        <v>2484998.4</v>
      </c>
      <c r="BZ692" s="4"/>
      <c r="CA692" s="4"/>
      <c r="CB692" s="4"/>
      <c r="CC692" s="4"/>
      <c r="CD692" s="4"/>
      <c r="CE692" s="4"/>
      <c r="CF692" s="4"/>
      <c r="CG692" s="4"/>
      <c r="CH692" s="4"/>
      <c r="CI692" s="4"/>
      <c r="CJ692" s="4"/>
      <c r="CK692" s="4"/>
      <c r="CL692" s="4"/>
      <c r="CM692" s="4"/>
      <c r="CN692" s="6"/>
      <c r="CO692" s="7"/>
      <c r="CP692" s="6"/>
      <c r="CQ692" s="7"/>
      <c r="CR692" s="6"/>
      <c r="CS692" s="7"/>
      <c r="CT692" s="8">
        <f t="shared" si="182"/>
        <v>30484998.399999999</v>
      </c>
      <c r="CU692" s="9"/>
      <c r="CV692" s="10"/>
      <c r="CW692" s="11">
        <f>200+4300</f>
        <v>4500</v>
      </c>
      <c r="CX692" s="12">
        <f>200*85000+4300*85000</f>
        <v>382500000</v>
      </c>
      <c r="CY692" s="26"/>
      <c r="CZ692" s="12"/>
      <c r="DA692" s="9"/>
      <c r="DB692" s="10"/>
      <c r="DC692" s="64"/>
      <c r="DD692" s="22"/>
    </row>
    <row r="693" spans="1:108" s="119" customFormat="1" ht="120" outlineLevel="2">
      <c r="A693" s="178">
        <v>40389</v>
      </c>
      <c r="B693" s="82" t="s">
        <v>1360</v>
      </c>
      <c r="C693" s="82" t="s">
        <v>1257</v>
      </c>
      <c r="D693" s="165" t="s">
        <v>1262</v>
      </c>
      <c r="E693" s="167"/>
      <c r="F693" s="66"/>
      <c r="G693" s="66"/>
      <c r="H693" s="66">
        <f>416*5</f>
        <v>2080</v>
      </c>
      <c r="I693" s="66">
        <v>416</v>
      </c>
      <c r="J693" s="66"/>
      <c r="K693" s="66">
        <v>416</v>
      </c>
      <c r="L693" s="66"/>
      <c r="M693" s="66"/>
      <c r="N693" s="66"/>
      <c r="O693" s="66"/>
      <c r="P693" s="66"/>
      <c r="Q693" s="66"/>
      <c r="R693" s="66"/>
      <c r="S693" s="66"/>
      <c r="T693" s="67"/>
      <c r="U693" s="151"/>
      <c r="V693" s="1">
        <v>40437</v>
      </c>
      <c r="W693" s="68">
        <f t="shared" si="177"/>
        <v>10257840</v>
      </c>
      <c r="X693" s="68">
        <f t="shared" si="178"/>
        <v>56610000</v>
      </c>
      <c r="Y693" s="68">
        <f t="shared" si="179"/>
        <v>0</v>
      </c>
      <c r="Z693" s="68">
        <f t="shared" si="180"/>
        <v>0</v>
      </c>
      <c r="AA693" s="68"/>
      <c r="AB693" s="68">
        <v>0</v>
      </c>
      <c r="AC693" s="69">
        <f t="shared" si="181"/>
        <v>66867840</v>
      </c>
      <c r="AD693" s="70">
        <v>0</v>
      </c>
      <c r="AE693" s="63">
        <v>40392</v>
      </c>
      <c r="AF693" s="72">
        <v>38767</v>
      </c>
      <c r="AG693" s="63" t="s">
        <v>954</v>
      </c>
      <c r="AH693" s="23" t="s">
        <v>955</v>
      </c>
      <c r="AI693" s="75" t="s">
        <v>405</v>
      </c>
      <c r="AJ693" s="133" t="s">
        <v>415</v>
      </c>
      <c r="AK693" s="188" t="s">
        <v>2286</v>
      </c>
      <c r="AL693" s="84"/>
      <c r="AM693" s="4"/>
      <c r="AN693" s="5"/>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v>2</v>
      </c>
      <c r="BY693" s="4">
        <f>2*504000</f>
        <v>1008000</v>
      </c>
      <c r="BZ693" s="4"/>
      <c r="CA693" s="4"/>
      <c r="CB693" s="4"/>
      <c r="CC693" s="4"/>
      <c r="CD693" s="4"/>
      <c r="CE693" s="4"/>
      <c r="CF693" s="4"/>
      <c r="CG693" s="4"/>
      <c r="CH693" s="4"/>
      <c r="CI693" s="4"/>
      <c r="CJ693" s="4"/>
      <c r="CK693" s="4"/>
      <c r="CL693" s="4"/>
      <c r="CM693" s="4"/>
      <c r="CN693" s="6">
        <v>250</v>
      </c>
      <c r="CO693" s="7">
        <f>250*36999.36</f>
        <v>9249840</v>
      </c>
      <c r="CP693" s="6"/>
      <c r="CQ693" s="7"/>
      <c r="CR693" s="6"/>
      <c r="CS693" s="7"/>
      <c r="CT693" s="8">
        <f t="shared" si="182"/>
        <v>10257840</v>
      </c>
      <c r="CU693" s="9"/>
      <c r="CV693" s="10"/>
      <c r="CW693" s="11">
        <f>250+416</f>
        <v>666</v>
      </c>
      <c r="CX693" s="12">
        <f>250*85000+416*85000</f>
        <v>56610000</v>
      </c>
      <c r="CY693" s="26"/>
      <c r="CZ693" s="12"/>
      <c r="DA693" s="9"/>
      <c r="DB693" s="10"/>
      <c r="DC693" s="64"/>
      <c r="DD693" s="22"/>
    </row>
    <row r="694" spans="1:108" s="119" customFormat="1" ht="144" outlineLevel="2">
      <c r="A694" s="178">
        <v>40389</v>
      </c>
      <c r="B694" s="82" t="s">
        <v>1360</v>
      </c>
      <c r="C694" s="82" t="s">
        <v>1983</v>
      </c>
      <c r="D694" s="165" t="s">
        <v>1262</v>
      </c>
      <c r="E694" s="167"/>
      <c r="F694" s="66"/>
      <c r="G694" s="66"/>
      <c r="H694" s="66">
        <f>562*5</f>
        <v>2810</v>
      </c>
      <c r="I694" s="66">
        <v>562</v>
      </c>
      <c r="J694" s="66"/>
      <c r="K694" s="66">
        <v>562</v>
      </c>
      <c r="L694" s="66"/>
      <c r="M694" s="66"/>
      <c r="N694" s="66"/>
      <c r="O694" s="66"/>
      <c r="P694" s="66"/>
      <c r="Q694" s="66"/>
      <c r="R694" s="66"/>
      <c r="S694" s="66"/>
      <c r="T694" s="67"/>
      <c r="U694" s="151"/>
      <c r="V694" s="1"/>
      <c r="W694" s="68">
        <f t="shared" si="177"/>
        <v>0</v>
      </c>
      <c r="X694" s="68">
        <f t="shared" si="178"/>
        <v>47770000</v>
      </c>
      <c r="Y694" s="68">
        <f t="shared" si="179"/>
        <v>0</v>
      </c>
      <c r="Z694" s="68">
        <f t="shared" si="180"/>
        <v>0</v>
      </c>
      <c r="AA694" s="68"/>
      <c r="AB694" s="68">
        <v>0</v>
      </c>
      <c r="AC694" s="69">
        <f t="shared" si="181"/>
        <v>47770000</v>
      </c>
      <c r="AD694" s="70">
        <v>0</v>
      </c>
      <c r="AE694" s="63">
        <v>40392</v>
      </c>
      <c r="AF694" s="72"/>
      <c r="AG694" s="63" t="s">
        <v>954</v>
      </c>
      <c r="AH694" s="23" t="s">
        <v>955</v>
      </c>
      <c r="AI694" s="60"/>
      <c r="AJ694" s="133" t="s">
        <v>415</v>
      </c>
      <c r="AK694" s="129" t="s">
        <v>2290</v>
      </c>
      <c r="AL694" s="3"/>
      <c r="AM694" s="4"/>
      <c r="AN694" s="5"/>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6"/>
      <c r="CO694" s="7"/>
      <c r="CP694" s="6"/>
      <c r="CQ694" s="7"/>
      <c r="CR694" s="6"/>
      <c r="CS694" s="7"/>
      <c r="CT694" s="8">
        <f t="shared" si="182"/>
        <v>0</v>
      </c>
      <c r="CU694" s="9"/>
      <c r="CV694" s="10"/>
      <c r="CW694" s="11">
        <v>562</v>
      </c>
      <c r="CX694" s="12">
        <f>562*85000</f>
        <v>47770000</v>
      </c>
      <c r="CY694" s="26"/>
      <c r="CZ694" s="12"/>
      <c r="DA694" s="9"/>
      <c r="DB694" s="10"/>
      <c r="DC694" s="64"/>
      <c r="DD694" s="22">
        <v>1196</v>
      </c>
    </row>
    <row r="695" spans="1:108" s="119" customFormat="1" ht="84" outlineLevel="2">
      <c r="A695" s="178">
        <v>40391</v>
      </c>
      <c r="B695" s="82" t="s">
        <v>1360</v>
      </c>
      <c r="C695" s="174" t="s">
        <v>2292</v>
      </c>
      <c r="D695" s="179" t="s">
        <v>1262</v>
      </c>
      <c r="E695" s="163"/>
      <c r="F695" s="105"/>
      <c r="G695" s="105"/>
      <c r="H695" s="105">
        <f>301*5</f>
        <v>1505</v>
      </c>
      <c r="I695" s="105">
        <v>301</v>
      </c>
      <c r="J695" s="105"/>
      <c r="K695" s="105">
        <v>301</v>
      </c>
      <c r="L695" s="105"/>
      <c r="M695" s="105"/>
      <c r="N695" s="105"/>
      <c r="O695" s="105"/>
      <c r="P695" s="105"/>
      <c r="Q695" s="105"/>
      <c r="R695" s="105"/>
      <c r="S695" s="105"/>
      <c r="T695" s="106"/>
      <c r="U695" s="130"/>
      <c r="V695" s="1">
        <v>40448</v>
      </c>
      <c r="W695" s="68">
        <f t="shared" si="177"/>
        <v>8398400</v>
      </c>
      <c r="X695" s="68">
        <f t="shared" si="178"/>
        <v>42585000</v>
      </c>
      <c r="Y695" s="68">
        <f t="shared" si="179"/>
        <v>0</v>
      </c>
      <c r="Z695" s="68">
        <f t="shared" si="180"/>
        <v>0</v>
      </c>
      <c r="AA695" s="68"/>
      <c r="AB695" s="68">
        <v>0</v>
      </c>
      <c r="AC695" s="69">
        <f t="shared" si="181"/>
        <v>50983400</v>
      </c>
      <c r="AD695" s="70">
        <v>0</v>
      </c>
      <c r="AE695" s="63">
        <v>40429</v>
      </c>
      <c r="AF695" s="72">
        <v>38767</v>
      </c>
      <c r="AG695" s="63" t="s">
        <v>954</v>
      </c>
      <c r="AH695" s="23" t="s">
        <v>955</v>
      </c>
      <c r="AI695" s="75" t="s">
        <v>407</v>
      </c>
      <c r="AJ695" s="124" t="s">
        <v>1476</v>
      </c>
      <c r="AK695" s="129" t="s">
        <v>2291</v>
      </c>
      <c r="AL695" s="107"/>
      <c r="AM695" s="108"/>
      <c r="AN695" s="109"/>
      <c r="AO695" s="108"/>
      <c r="AP695" s="108"/>
      <c r="AQ695" s="108"/>
      <c r="AR695" s="108"/>
      <c r="AS695" s="108"/>
      <c r="AT695" s="108"/>
      <c r="AU695" s="108"/>
      <c r="AV695" s="108"/>
      <c r="AW695" s="108"/>
      <c r="AX695" s="108"/>
      <c r="AY695" s="108"/>
      <c r="AZ695" s="108"/>
      <c r="BA695" s="108"/>
      <c r="BB695" s="108"/>
      <c r="BC695" s="108"/>
      <c r="BD695" s="108"/>
      <c r="BE695" s="108"/>
      <c r="BF695" s="108"/>
      <c r="BG695" s="108"/>
      <c r="BH695" s="108"/>
      <c r="BI695" s="108"/>
      <c r="BJ695" s="108"/>
      <c r="BK695" s="108"/>
      <c r="BL695" s="108"/>
      <c r="BM695" s="108"/>
      <c r="BN695" s="108"/>
      <c r="BO695" s="108"/>
      <c r="BP695" s="108"/>
      <c r="BQ695" s="108"/>
      <c r="BR695" s="108"/>
      <c r="BS695" s="108"/>
      <c r="BT695" s="108"/>
      <c r="BU695" s="108"/>
      <c r="BV695" s="108"/>
      <c r="BW695" s="108"/>
      <c r="BX695" s="108">
        <v>2</v>
      </c>
      <c r="BY695" s="108">
        <f>2*504000</f>
        <v>1008000</v>
      </c>
      <c r="BZ695" s="108"/>
      <c r="CA695" s="108"/>
      <c r="CB695" s="108"/>
      <c r="CC695" s="108"/>
      <c r="CD695" s="108"/>
      <c r="CE695" s="108"/>
      <c r="CF695" s="108"/>
      <c r="CG695" s="108"/>
      <c r="CH695" s="108"/>
      <c r="CI695" s="108"/>
      <c r="CJ695" s="108"/>
      <c r="CK695" s="108"/>
      <c r="CL695" s="108"/>
      <c r="CM695" s="108"/>
      <c r="CN695" s="110">
        <v>200</v>
      </c>
      <c r="CO695" s="111">
        <f>200*36952</f>
        <v>7390400</v>
      </c>
      <c r="CP695" s="110"/>
      <c r="CQ695" s="111"/>
      <c r="CR695" s="110"/>
      <c r="CS695" s="111"/>
      <c r="CT695" s="112">
        <f t="shared" si="182"/>
        <v>8398400</v>
      </c>
      <c r="CU695" s="113"/>
      <c r="CV695" s="114"/>
      <c r="CW695" s="115">
        <f>200+301</f>
        <v>501</v>
      </c>
      <c r="CX695" s="116">
        <f>200*85000+301*85000</f>
        <v>42585000</v>
      </c>
      <c r="CY695" s="117"/>
      <c r="CZ695" s="116"/>
      <c r="DA695" s="113"/>
      <c r="DB695" s="114"/>
      <c r="DC695" s="64"/>
      <c r="DD695" s="118"/>
    </row>
    <row r="696" spans="1:108" s="119" customFormat="1" outlineLevel="2">
      <c r="A696" s="178">
        <v>40392</v>
      </c>
      <c r="B696" s="82" t="s">
        <v>1360</v>
      </c>
      <c r="C696" s="82" t="s">
        <v>1860</v>
      </c>
      <c r="D696" s="165" t="s">
        <v>435</v>
      </c>
      <c r="E696" s="167"/>
      <c r="F696" s="66"/>
      <c r="G696" s="66"/>
      <c r="H696" s="66">
        <v>57</v>
      </c>
      <c r="I696" s="66">
        <v>13</v>
      </c>
      <c r="J696" s="66">
        <v>1</v>
      </c>
      <c r="K696" s="66">
        <v>12</v>
      </c>
      <c r="L696" s="66"/>
      <c r="M696" s="66"/>
      <c r="N696" s="66"/>
      <c r="O696" s="66"/>
      <c r="P696" s="66"/>
      <c r="Q696" s="66"/>
      <c r="R696" s="66"/>
      <c r="S696" s="66"/>
      <c r="T696" s="67"/>
      <c r="U696" s="151"/>
      <c r="V696" s="1"/>
      <c r="W696" s="68">
        <f t="shared" si="177"/>
        <v>0</v>
      </c>
      <c r="X696" s="68">
        <f t="shared" si="178"/>
        <v>0</v>
      </c>
      <c r="Y696" s="68">
        <f t="shared" si="179"/>
        <v>0</v>
      </c>
      <c r="Z696" s="68">
        <f t="shared" si="180"/>
        <v>0</v>
      </c>
      <c r="AA696" s="68"/>
      <c r="AB696" s="68">
        <v>0</v>
      </c>
      <c r="AC696" s="69">
        <f t="shared" si="181"/>
        <v>0</v>
      </c>
      <c r="AD696" s="70">
        <v>0</v>
      </c>
      <c r="AE696" s="63">
        <v>40394</v>
      </c>
      <c r="AF696" s="72"/>
      <c r="AG696" s="63" t="s">
        <v>938</v>
      </c>
      <c r="AH696" s="23" t="s">
        <v>939</v>
      </c>
      <c r="AI696" s="60"/>
      <c r="AJ696" s="133" t="s">
        <v>1608</v>
      </c>
      <c r="AK696" s="73" t="s">
        <v>256</v>
      </c>
      <c r="AL696" s="3"/>
      <c r="AM696" s="4"/>
      <c r="AN696" s="5"/>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6"/>
      <c r="CO696" s="7"/>
      <c r="CP696" s="6"/>
      <c r="CQ696" s="7"/>
      <c r="CR696" s="6"/>
      <c r="CS696" s="7"/>
      <c r="CT696" s="8">
        <f t="shared" si="182"/>
        <v>0</v>
      </c>
      <c r="CU696" s="9"/>
      <c r="CV696" s="10"/>
      <c r="CW696" s="11"/>
      <c r="CX696" s="12"/>
      <c r="CY696" s="26"/>
      <c r="CZ696" s="12"/>
      <c r="DA696" s="9"/>
      <c r="DB696" s="10"/>
      <c r="DC696" s="64"/>
      <c r="DD696" s="22"/>
    </row>
    <row r="697" spans="1:108" s="119" customFormat="1" ht="45" outlineLevel="2">
      <c r="A697" s="178">
        <v>40396</v>
      </c>
      <c r="B697" s="82" t="s">
        <v>1360</v>
      </c>
      <c r="C697" s="82" t="s">
        <v>1983</v>
      </c>
      <c r="D697" s="165" t="s">
        <v>435</v>
      </c>
      <c r="E697" s="167"/>
      <c r="F697" s="66"/>
      <c r="G697" s="66"/>
      <c r="H697" s="66">
        <v>49</v>
      </c>
      <c r="I697" s="66">
        <v>13</v>
      </c>
      <c r="J697" s="66">
        <v>9</v>
      </c>
      <c r="K697" s="66">
        <v>3</v>
      </c>
      <c r="L697" s="66"/>
      <c r="M697" s="66"/>
      <c r="N697" s="66"/>
      <c r="O697" s="66"/>
      <c r="P697" s="66"/>
      <c r="Q697" s="66"/>
      <c r="R697" s="66"/>
      <c r="S697" s="66"/>
      <c r="T697" s="67"/>
      <c r="U697" s="151"/>
      <c r="V697" s="1">
        <v>40448</v>
      </c>
      <c r="W697" s="68">
        <f t="shared" si="177"/>
        <v>12093600</v>
      </c>
      <c r="X697" s="68">
        <f t="shared" si="178"/>
        <v>25500000</v>
      </c>
      <c r="Y697" s="68">
        <f t="shared" si="179"/>
        <v>0</v>
      </c>
      <c r="Z697" s="68">
        <f t="shared" si="180"/>
        <v>0</v>
      </c>
      <c r="AA697" s="68"/>
      <c r="AB697" s="68">
        <v>0</v>
      </c>
      <c r="AC697" s="69">
        <f t="shared" si="181"/>
        <v>37593600</v>
      </c>
      <c r="AD697" s="70">
        <v>0</v>
      </c>
      <c r="AE697" s="63">
        <v>40399</v>
      </c>
      <c r="AF697" s="72">
        <v>38767</v>
      </c>
      <c r="AG697" s="63" t="s">
        <v>954</v>
      </c>
      <c r="AH697" s="23" t="s">
        <v>955</v>
      </c>
      <c r="AI697" s="75" t="s">
        <v>407</v>
      </c>
      <c r="AJ697" s="133" t="s">
        <v>415</v>
      </c>
      <c r="AK697" s="73" t="s">
        <v>2044</v>
      </c>
      <c r="AL697" s="3"/>
      <c r="AM697" s="4"/>
      <c r="AN697" s="5"/>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v>2</v>
      </c>
      <c r="BY697" s="4">
        <f>2*504000</f>
        <v>1008000</v>
      </c>
      <c r="BZ697" s="4"/>
      <c r="CA697" s="4"/>
      <c r="CB697" s="4"/>
      <c r="CC697" s="4"/>
      <c r="CD697" s="4"/>
      <c r="CE697" s="4"/>
      <c r="CF697" s="4"/>
      <c r="CG697" s="4"/>
      <c r="CH697" s="4"/>
      <c r="CI697" s="4"/>
      <c r="CJ697" s="4"/>
      <c r="CK697" s="4"/>
      <c r="CL697" s="4"/>
      <c r="CM697" s="4"/>
      <c r="CN697" s="6">
        <v>300</v>
      </c>
      <c r="CO697" s="7">
        <f>300*36952</f>
        <v>11085600</v>
      </c>
      <c r="CP697" s="6"/>
      <c r="CQ697" s="7"/>
      <c r="CR697" s="6"/>
      <c r="CS697" s="7"/>
      <c r="CT697" s="8">
        <f t="shared" si="182"/>
        <v>12093600</v>
      </c>
      <c r="CU697" s="9"/>
      <c r="CV697" s="10"/>
      <c r="CW697" s="11">
        <v>300</v>
      </c>
      <c r="CX697" s="12">
        <f>300*85000</f>
        <v>25500000</v>
      </c>
      <c r="CY697" s="26"/>
      <c r="CZ697" s="12"/>
      <c r="DA697" s="9"/>
      <c r="DB697" s="10"/>
      <c r="DC697" s="64"/>
      <c r="DD697" s="22"/>
    </row>
    <row r="698" spans="1:108" s="119" customFormat="1" ht="132" outlineLevel="2">
      <c r="A698" s="178">
        <v>40403</v>
      </c>
      <c r="B698" s="82" t="s">
        <v>1360</v>
      </c>
      <c r="C698" s="82" t="s">
        <v>2232</v>
      </c>
      <c r="D698" s="165" t="s">
        <v>1262</v>
      </c>
      <c r="E698" s="163"/>
      <c r="F698" s="105"/>
      <c r="G698" s="105"/>
      <c r="H698" s="105">
        <f>3831*5</f>
        <v>19155</v>
      </c>
      <c r="I698" s="105">
        <v>3831</v>
      </c>
      <c r="J698" s="105"/>
      <c r="K698" s="105">
        <v>3831</v>
      </c>
      <c r="L698" s="105"/>
      <c r="M698" s="105"/>
      <c r="N698" s="105"/>
      <c r="O698" s="105"/>
      <c r="P698" s="105"/>
      <c r="Q698" s="105"/>
      <c r="R698" s="105"/>
      <c r="S698" s="105"/>
      <c r="T698" s="106"/>
      <c r="U698" s="130"/>
      <c r="V698" s="1">
        <v>40443</v>
      </c>
      <c r="W698" s="68">
        <f t="shared" si="177"/>
        <v>25259996.800000001</v>
      </c>
      <c r="X698" s="68">
        <f t="shared" si="178"/>
        <v>376635000</v>
      </c>
      <c r="Y698" s="68">
        <f t="shared" si="179"/>
        <v>0</v>
      </c>
      <c r="Z698" s="68">
        <f t="shared" si="180"/>
        <v>0</v>
      </c>
      <c r="AA698" s="68"/>
      <c r="AB698" s="68">
        <v>109978800</v>
      </c>
      <c r="AC698" s="69">
        <f t="shared" si="181"/>
        <v>511873796.80000001</v>
      </c>
      <c r="AD698" s="70">
        <v>0</v>
      </c>
      <c r="AE698" s="63">
        <v>40413</v>
      </c>
      <c r="AF698" s="72">
        <v>45965</v>
      </c>
      <c r="AG698" s="63" t="s">
        <v>954</v>
      </c>
      <c r="AH698" s="23" t="s">
        <v>955</v>
      </c>
      <c r="AI698" s="75" t="s">
        <v>693</v>
      </c>
      <c r="AJ698" s="133" t="s">
        <v>415</v>
      </c>
      <c r="AK698" s="73" t="s">
        <v>73</v>
      </c>
      <c r="AL698" s="107"/>
      <c r="AM698" s="108"/>
      <c r="AN698" s="109"/>
      <c r="AO698" s="108"/>
      <c r="AP698" s="108"/>
      <c r="AQ698" s="108"/>
      <c r="AR698" s="108"/>
      <c r="AS698" s="108"/>
      <c r="AT698" s="108"/>
      <c r="AU698" s="108"/>
      <c r="AV698" s="108"/>
      <c r="AW698" s="108"/>
      <c r="AX698" s="108"/>
      <c r="AY698" s="108"/>
      <c r="AZ698" s="108"/>
      <c r="BA698" s="108"/>
      <c r="BB698" s="108"/>
      <c r="BC698" s="108"/>
      <c r="BD698" s="108"/>
      <c r="BE698" s="108"/>
      <c r="BF698" s="108"/>
      <c r="BG698" s="108"/>
      <c r="BH698" s="108"/>
      <c r="BI698" s="108"/>
      <c r="BJ698" s="108"/>
      <c r="BK698" s="108"/>
      <c r="BL698" s="108"/>
      <c r="BM698" s="108"/>
      <c r="BN698" s="108"/>
      <c r="BO698" s="108"/>
      <c r="BP698" s="108"/>
      <c r="BQ698" s="108"/>
      <c r="BR698" s="108"/>
      <c r="BS698" s="108"/>
      <c r="BT698" s="108"/>
      <c r="BU698" s="108"/>
      <c r="BV698" s="108"/>
      <c r="BW698" s="108"/>
      <c r="BX698" s="108">
        <f>2+10</f>
        <v>12</v>
      </c>
      <c r="BY698" s="108">
        <f>2*520000+10*496999.68</f>
        <v>6009996.7999999998</v>
      </c>
      <c r="BZ698" s="108"/>
      <c r="CA698" s="108"/>
      <c r="CB698" s="108"/>
      <c r="CC698" s="108"/>
      <c r="CD698" s="108"/>
      <c r="CE698" s="108"/>
      <c r="CF698" s="108"/>
      <c r="CG698" s="108"/>
      <c r="CH698" s="108"/>
      <c r="CI698" s="108"/>
      <c r="CJ698" s="108"/>
      <c r="CK698" s="108"/>
      <c r="CL698" s="108"/>
      <c r="CM698" s="108"/>
      <c r="CN698" s="110">
        <v>500</v>
      </c>
      <c r="CO698" s="111">
        <f>500*38500</f>
        <v>19250000</v>
      </c>
      <c r="CP698" s="110"/>
      <c r="CQ698" s="111"/>
      <c r="CR698" s="110"/>
      <c r="CS698" s="111"/>
      <c r="CT698" s="112">
        <f t="shared" si="182"/>
        <v>25259996.800000001</v>
      </c>
      <c r="CU698" s="113"/>
      <c r="CV698" s="114"/>
      <c r="CW698" s="115">
        <f>500+3831+100</f>
        <v>4431</v>
      </c>
      <c r="CX698" s="116">
        <f>500*85000+3831*85000+100*85000</f>
        <v>376635000</v>
      </c>
      <c r="CY698" s="117"/>
      <c r="CZ698" s="116"/>
      <c r="DA698" s="113"/>
      <c r="DB698" s="114"/>
      <c r="DC698" s="76" t="s">
        <v>74</v>
      </c>
      <c r="DD698" s="118"/>
    </row>
    <row r="699" spans="1:108" s="119" customFormat="1" ht="45" outlineLevel="2">
      <c r="A699" s="178">
        <v>40403</v>
      </c>
      <c r="B699" s="82" t="s">
        <v>1360</v>
      </c>
      <c r="C699" s="82" t="s">
        <v>1667</v>
      </c>
      <c r="D699" s="165" t="s">
        <v>1262</v>
      </c>
      <c r="E699" s="167"/>
      <c r="F699" s="66"/>
      <c r="G699" s="66"/>
      <c r="H699" s="66">
        <f>2331*5</f>
        <v>11655</v>
      </c>
      <c r="I699" s="66">
        <v>2331</v>
      </c>
      <c r="J699" s="66"/>
      <c r="K699" s="66">
        <v>2331</v>
      </c>
      <c r="L699" s="66"/>
      <c r="M699" s="66"/>
      <c r="N699" s="66"/>
      <c r="O699" s="66"/>
      <c r="P699" s="66"/>
      <c r="Q699" s="66"/>
      <c r="R699" s="66"/>
      <c r="S699" s="66"/>
      <c r="T699" s="67"/>
      <c r="U699" s="151"/>
      <c r="V699" s="1">
        <v>40443</v>
      </c>
      <c r="W699" s="68">
        <f t="shared" si="177"/>
        <v>32360000</v>
      </c>
      <c r="X699" s="68">
        <f t="shared" si="178"/>
        <v>266135000</v>
      </c>
      <c r="Y699" s="68">
        <f t="shared" si="179"/>
        <v>0</v>
      </c>
      <c r="Z699" s="68">
        <f t="shared" si="180"/>
        <v>0</v>
      </c>
      <c r="AA699" s="68"/>
      <c r="AB699" s="68">
        <v>0</v>
      </c>
      <c r="AC699" s="69">
        <f t="shared" si="181"/>
        <v>298495000</v>
      </c>
      <c r="AD699" s="70">
        <v>0</v>
      </c>
      <c r="AE699" s="63">
        <v>40407</v>
      </c>
      <c r="AF699" s="72"/>
      <c r="AG699" s="63" t="s">
        <v>954</v>
      </c>
      <c r="AH699" s="23" t="s">
        <v>955</v>
      </c>
      <c r="AI699" s="60">
        <v>19887</v>
      </c>
      <c r="AJ699" s="133" t="s">
        <v>415</v>
      </c>
      <c r="AK699" s="73" t="s">
        <v>2069</v>
      </c>
      <c r="AL699" s="3"/>
      <c r="AM699" s="4"/>
      <c r="AN699" s="5"/>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v>3</v>
      </c>
      <c r="BY699" s="4">
        <f>3*520000</f>
        <v>1560000</v>
      </c>
      <c r="BZ699" s="4"/>
      <c r="CA699" s="4"/>
      <c r="CB699" s="4"/>
      <c r="CC699" s="4"/>
      <c r="CD699" s="4"/>
      <c r="CE699" s="4"/>
      <c r="CF699" s="4"/>
      <c r="CG699" s="4"/>
      <c r="CH699" s="4"/>
      <c r="CI699" s="4"/>
      <c r="CJ699" s="4"/>
      <c r="CK699" s="4"/>
      <c r="CL699" s="4"/>
      <c r="CM699" s="4"/>
      <c r="CN699" s="6">
        <v>800</v>
      </c>
      <c r="CO699" s="7">
        <f>800*38500</f>
        <v>30800000</v>
      </c>
      <c r="CP699" s="6"/>
      <c r="CQ699" s="7"/>
      <c r="CR699" s="6"/>
      <c r="CS699" s="7"/>
      <c r="CT699" s="8">
        <f t="shared" si="182"/>
        <v>32360000</v>
      </c>
      <c r="CU699" s="9"/>
      <c r="CV699" s="10"/>
      <c r="CW699" s="11">
        <f>800+2331</f>
        <v>3131</v>
      </c>
      <c r="CX699" s="12">
        <f>800*85000+2331*85000</f>
        <v>266135000</v>
      </c>
      <c r="CY699" s="26"/>
      <c r="CZ699" s="12"/>
      <c r="DA699" s="9"/>
      <c r="DB699" s="10"/>
      <c r="DC699" s="64"/>
      <c r="DD699" s="22"/>
    </row>
    <row r="700" spans="1:108" s="119" customFormat="1" ht="132" outlineLevel="2">
      <c r="A700" s="178">
        <v>40406</v>
      </c>
      <c r="B700" s="82" t="s">
        <v>1360</v>
      </c>
      <c r="C700" s="82" t="s">
        <v>1773</v>
      </c>
      <c r="D700" s="165" t="s">
        <v>1262</v>
      </c>
      <c r="E700" s="167"/>
      <c r="F700" s="66"/>
      <c r="G700" s="66"/>
      <c r="H700" s="66">
        <f>1330*5</f>
        <v>6650</v>
      </c>
      <c r="I700" s="66">
        <v>1330</v>
      </c>
      <c r="J700" s="66"/>
      <c r="K700" s="66">
        <v>1330</v>
      </c>
      <c r="L700" s="66"/>
      <c r="M700" s="66"/>
      <c r="N700" s="66"/>
      <c r="O700" s="66"/>
      <c r="P700" s="66"/>
      <c r="Q700" s="66"/>
      <c r="R700" s="66"/>
      <c r="S700" s="66"/>
      <c r="T700" s="67"/>
      <c r="U700" s="151"/>
      <c r="V700" s="1">
        <v>40437</v>
      </c>
      <c r="W700" s="68">
        <f t="shared" si="177"/>
        <v>4203936</v>
      </c>
      <c r="X700" s="68">
        <f t="shared" si="178"/>
        <v>121550000</v>
      </c>
      <c r="Y700" s="68">
        <f t="shared" si="179"/>
        <v>0</v>
      </c>
      <c r="Z700" s="68">
        <f t="shared" si="180"/>
        <v>0</v>
      </c>
      <c r="AA700" s="68"/>
      <c r="AB700" s="68">
        <v>0</v>
      </c>
      <c r="AC700" s="69">
        <f t="shared" si="181"/>
        <v>125753936</v>
      </c>
      <c r="AD700" s="70">
        <v>0</v>
      </c>
      <c r="AE700" s="63">
        <v>40408</v>
      </c>
      <c r="AF700" s="72">
        <v>38767</v>
      </c>
      <c r="AG700" s="63" t="s">
        <v>954</v>
      </c>
      <c r="AH700" s="23" t="s">
        <v>955</v>
      </c>
      <c r="AI700" s="75" t="s">
        <v>405</v>
      </c>
      <c r="AJ700" s="133" t="s">
        <v>415</v>
      </c>
      <c r="AK700" s="129" t="s">
        <v>2285</v>
      </c>
      <c r="AL700" s="3"/>
      <c r="AM700" s="4"/>
      <c r="AN700" s="5"/>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v>1</v>
      </c>
      <c r="CA700" s="4">
        <f>1*504000</f>
        <v>504000</v>
      </c>
      <c r="CB700" s="4"/>
      <c r="CC700" s="4"/>
      <c r="CD700" s="4"/>
      <c r="CE700" s="4"/>
      <c r="CF700" s="4"/>
      <c r="CG700" s="4"/>
      <c r="CH700" s="4"/>
      <c r="CI700" s="4"/>
      <c r="CJ700" s="4"/>
      <c r="CK700" s="4"/>
      <c r="CL700" s="4"/>
      <c r="CM700" s="4"/>
      <c r="CN700" s="6">
        <v>100</v>
      </c>
      <c r="CO700" s="7">
        <f>100*36999.36</f>
        <v>3699936</v>
      </c>
      <c r="CP700" s="6"/>
      <c r="CQ700" s="7"/>
      <c r="CR700" s="6"/>
      <c r="CS700" s="7"/>
      <c r="CT700" s="8">
        <f t="shared" si="182"/>
        <v>4203936</v>
      </c>
      <c r="CU700" s="9"/>
      <c r="CV700" s="10"/>
      <c r="CW700" s="11">
        <f>100+1330</f>
        <v>1430</v>
      </c>
      <c r="CX700" s="12">
        <f>100*85000+1330*85000</f>
        <v>121550000</v>
      </c>
      <c r="CY700" s="26"/>
      <c r="CZ700" s="12"/>
      <c r="DA700" s="9"/>
      <c r="DB700" s="10"/>
      <c r="DC700" s="64"/>
      <c r="DD700" s="22"/>
    </row>
    <row r="701" spans="1:108" s="119" customFormat="1" ht="108" outlineLevel="2">
      <c r="A701" s="178">
        <v>40409</v>
      </c>
      <c r="B701" s="82" t="s">
        <v>1360</v>
      </c>
      <c r="C701" s="82" t="s">
        <v>2095</v>
      </c>
      <c r="D701" s="165" t="s">
        <v>1262</v>
      </c>
      <c r="E701" s="167"/>
      <c r="F701" s="66"/>
      <c r="G701" s="66"/>
      <c r="H701" s="66">
        <f>1023*5</f>
        <v>5115</v>
      </c>
      <c r="I701" s="66">
        <v>1023</v>
      </c>
      <c r="J701" s="66"/>
      <c r="K701" s="66">
        <v>1023</v>
      </c>
      <c r="L701" s="66"/>
      <c r="M701" s="66"/>
      <c r="N701" s="66"/>
      <c r="O701" s="66"/>
      <c r="P701" s="66"/>
      <c r="Q701" s="66"/>
      <c r="R701" s="66"/>
      <c r="S701" s="66"/>
      <c r="T701" s="67"/>
      <c r="U701" s="151"/>
      <c r="V701" s="1">
        <v>40448</v>
      </c>
      <c r="W701" s="68">
        <f t="shared" si="177"/>
        <v>17031840</v>
      </c>
      <c r="X701" s="68">
        <f t="shared" si="178"/>
        <v>122655000</v>
      </c>
      <c r="Y701" s="68">
        <f t="shared" si="179"/>
        <v>0</v>
      </c>
      <c r="Z701" s="68">
        <f t="shared" si="180"/>
        <v>0</v>
      </c>
      <c r="AA701" s="68"/>
      <c r="AB701" s="68">
        <v>0</v>
      </c>
      <c r="AC701" s="69">
        <f t="shared" si="181"/>
        <v>139686840</v>
      </c>
      <c r="AD701" s="70">
        <v>0</v>
      </c>
      <c r="AE701" s="63">
        <v>40413</v>
      </c>
      <c r="AF701" s="72">
        <v>38767</v>
      </c>
      <c r="AG701" s="63" t="s">
        <v>954</v>
      </c>
      <c r="AH701" s="23" t="s">
        <v>955</v>
      </c>
      <c r="AI701" s="75" t="s">
        <v>407</v>
      </c>
      <c r="AJ701" s="133" t="s">
        <v>415</v>
      </c>
      <c r="AK701" s="129" t="s">
        <v>2288</v>
      </c>
      <c r="AL701" s="3"/>
      <c r="AM701" s="4"/>
      <c r="AN701" s="5"/>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v>3</v>
      </c>
      <c r="BY701" s="4">
        <f>3*504000</f>
        <v>1512000</v>
      </c>
      <c r="BZ701" s="4"/>
      <c r="CA701" s="4"/>
      <c r="CB701" s="4"/>
      <c r="CC701" s="4"/>
      <c r="CD701" s="4"/>
      <c r="CE701" s="4"/>
      <c r="CF701" s="4"/>
      <c r="CG701" s="4"/>
      <c r="CH701" s="4"/>
      <c r="CI701" s="4"/>
      <c r="CJ701" s="4"/>
      <c r="CK701" s="4"/>
      <c r="CL701" s="4"/>
      <c r="CM701" s="4"/>
      <c r="CN701" s="6">
        <v>420</v>
      </c>
      <c r="CO701" s="7">
        <f>420*36952</f>
        <v>15519840</v>
      </c>
      <c r="CP701" s="6"/>
      <c r="CQ701" s="7"/>
      <c r="CR701" s="6"/>
      <c r="CS701" s="7"/>
      <c r="CT701" s="8">
        <f t="shared" si="182"/>
        <v>17031840</v>
      </c>
      <c r="CU701" s="9"/>
      <c r="CV701" s="10"/>
      <c r="CW701" s="11">
        <f>420+1023</f>
        <v>1443</v>
      </c>
      <c r="CX701" s="12">
        <f>420*85000+1023*85000</f>
        <v>122655000</v>
      </c>
      <c r="CY701" s="26"/>
      <c r="CZ701" s="12"/>
      <c r="DA701" s="9"/>
      <c r="DB701" s="10"/>
      <c r="DC701" s="64"/>
      <c r="DD701" s="22"/>
    </row>
    <row r="702" spans="1:108" s="119" customFormat="1" ht="96" outlineLevel="2">
      <c r="A702" s="178">
        <v>40409</v>
      </c>
      <c r="B702" s="82" t="s">
        <v>1360</v>
      </c>
      <c r="C702" s="82" t="s">
        <v>276</v>
      </c>
      <c r="D702" s="165" t="s">
        <v>1262</v>
      </c>
      <c r="E702" s="167"/>
      <c r="F702" s="66"/>
      <c r="G702" s="66"/>
      <c r="H702" s="66">
        <v>455</v>
      </c>
      <c r="I702" s="66">
        <v>110</v>
      </c>
      <c r="J702" s="66"/>
      <c r="K702" s="66">
        <v>110</v>
      </c>
      <c r="L702" s="66"/>
      <c r="M702" s="66"/>
      <c r="N702" s="66"/>
      <c r="O702" s="66"/>
      <c r="P702" s="66"/>
      <c r="Q702" s="66"/>
      <c r="R702" s="66"/>
      <c r="S702" s="66"/>
      <c r="T702" s="67"/>
      <c r="U702" s="151"/>
      <c r="V702" s="1">
        <v>40448</v>
      </c>
      <c r="W702" s="68">
        <f t="shared" si="177"/>
        <v>3090640</v>
      </c>
      <c r="X702" s="68">
        <f t="shared" si="178"/>
        <v>15300000</v>
      </c>
      <c r="Y702" s="68">
        <f t="shared" si="179"/>
        <v>0</v>
      </c>
      <c r="Z702" s="68">
        <f t="shared" si="180"/>
        <v>0</v>
      </c>
      <c r="AA702" s="68"/>
      <c r="AB702" s="68">
        <v>0</v>
      </c>
      <c r="AC702" s="69">
        <f t="shared" si="181"/>
        <v>18390640</v>
      </c>
      <c r="AD702" s="70">
        <v>0</v>
      </c>
      <c r="AE702" s="63">
        <v>40413</v>
      </c>
      <c r="AF702" s="72">
        <v>38767</v>
      </c>
      <c r="AG702" s="63" t="s">
        <v>954</v>
      </c>
      <c r="AH702" s="23" t="s">
        <v>955</v>
      </c>
      <c r="AI702" s="75" t="s">
        <v>407</v>
      </c>
      <c r="AJ702" s="133" t="s">
        <v>415</v>
      </c>
      <c r="AK702" s="190" t="s">
        <v>2287</v>
      </c>
      <c r="AL702" s="3"/>
      <c r="AM702" s="4"/>
      <c r="AN702" s="5"/>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v>1</v>
      </c>
      <c r="BY702" s="4">
        <f>1*504000</f>
        <v>504000</v>
      </c>
      <c r="BZ702" s="4"/>
      <c r="CA702" s="4"/>
      <c r="CB702" s="4"/>
      <c r="CC702" s="4"/>
      <c r="CD702" s="4"/>
      <c r="CE702" s="4"/>
      <c r="CF702" s="4"/>
      <c r="CG702" s="4"/>
      <c r="CH702" s="4"/>
      <c r="CI702" s="4"/>
      <c r="CJ702" s="4"/>
      <c r="CK702" s="4"/>
      <c r="CL702" s="4"/>
      <c r="CM702" s="4"/>
      <c r="CN702" s="6">
        <v>70</v>
      </c>
      <c r="CO702" s="7">
        <f>70*36952</f>
        <v>2586640</v>
      </c>
      <c r="CP702" s="6"/>
      <c r="CQ702" s="7"/>
      <c r="CR702" s="6"/>
      <c r="CS702" s="7"/>
      <c r="CT702" s="8">
        <f t="shared" si="182"/>
        <v>3090640</v>
      </c>
      <c r="CU702" s="9"/>
      <c r="CV702" s="10"/>
      <c r="CW702" s="11">
        <f>70+110</f>
        <v>180</v>
      </c>
      <c r="CX702" s="12">
        <f>70*85000+110*85000</f>
        <v>15300000</v>
      </c>
      <c r="CY702" s="26"/>
      <c r="CZ702" s="12"/>
      <c r="DA702" s="9"/>
      <c r="DB702" s="10"/>
      <c r="DC702" s="64"/>
      <c r="DD702" s="22"/>
    </row>
    <row r="703" spans="1:108" s="119" customFormat="1" ht="132" outlineLevel="2">
      <c r="A703" s="178">
        <v>40411</v>
      </c>
      <c r="B703" s="82" t="s">
        <v>1360</v>
      </c>
      <c r="C703" s="82" t="s">
        <v>1216</v>
      </c>
      <c r="D703" s="165" t="s">
        <v>1262</v>
      </c>
      <c r="E703" s="167"/>
      <c r="F703" s="66"/>
      <c r="G703" s="66"/>
      <c r="H703" s="66">
        <f>427*5</f>
        <v>2135</v>
      </c>
      <c r="I703" s="66">
        <v>427</v>
      </c>
      <c r="J703" s="66"/>
      <c r="K703" s="66">
        <v>427</v>
      </c>
      <c r="L703" s="66"/>
      <c r="M703" s="66"/>
      <c r="N703" s="66"/>
      <c r="O703" s="66"/>
      <c r="P703" s="66"/>
      <c r="Q703" s="66"/>
      <c r="R703" s="66"/>
      <c r="S703" s="66"/>
      <c r="T703" s="67"/>
      <c r="U703" s="151"/>
      <c r="V703" s="1">
        <v>40436</v>
      </c>
      <c r="W703" s="68">
        <f t="shared" si="177"/>
        <v>10892870.4</v>
      </c>
      <c r="X703" s="68">
        <f t="shared" si="178"/>
        <v>41140000</v>
      </c>
      <c r="Y703" s="68">
        <f t="shared" si="179"/>
        <v>0</v>
      </c>
      <c r="Z703" s="68">
        <f t="shared" si="180"/>
        <v>0</v>
      </c>
      <c r="AA703" s="68"/>
      <c r="AB703" s="68">
        <v>80000000</v>
      </c>
      <c r="AC703" s="69">
        <f t="shared" si="181"/>
        <v>132032870.40000001</v>
      </c>
      <c r="AD703" s="70">
        <v>0</v>
      </c>
      <c r="AE703" s="63">
        <v>40413</v>
      </c>
      <c r="AF703" s="72">
        <v>3876</v>
      </c>
      <c r="AG703" s="63" t="s">
        <v>954</v>
      </c>
      <c r="AH703" s="23" t="s">
        <v>955</v>
      </c>
      <c r="AI703" s="75" t="s">
        <v>288</v>
      </c>
      <c r="AJ703" s="133" t="s">
        <v>415</v>
      </c>
      <c r="AK703" s="129" t="s">
        <v>289</v>
      </c>
      <c r="AL703" s="3"/>
      <c r="AM703" s="4"/>
      <c r="AN703" s="5"/>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f>5+2</f>
        <v>7</v>
      </c>
      <c r="BY703" s="4">
        <f>5*496999.68+2*504000</f>
        <v>3492998.4</v>
      </c>
      <c r="BZ703" s="4"/>
      <c r="CA703" s="4"/>
      <c r="CB703" s="4"/>
      <c r="CC703" s="4"/>
      <c r="CD703" s="4"/>
      <c r="CE703" s="4"/>
      <c r="CF703" s="4"/>
      <c r="CG703" s="4"/>
      <c r="CH703" s="4"/>
      <c r="CI703" s="4"/>
      <c r="CJ703" s="4"/>
      <c r="CK703" s="4"/>
      <c r="CL703" s="4"/>
      <c r="CM703" s="4"/>
      <c r="CN703" s="6">
        <v>200</v>
      </c>
      <c r="CO703" s="7">
        <f>200*36999.36</f>
        <v>7399872</v>
      </c>
      <c r="CP703" s="6"/>
      <c r="CQ703" s="7"/>
      <c r="CR703" s="6"/>
      <c r="CS703" s="7"/>
      <c r="CT703" s="8">
        <f t="shared" si="182"/>
        <v>10892870.4</v>
      </c>
      <c r="CU703" s="9"/>
      <c r="CV703" s="10"/>
      <c r="CW703" s="11">
        <f>200+284</f>
        <v>484</v>
      </c>
      <c r="CX703" s="12">
        <f>200*85000+284*85000</f>
        <v>41140000</v>
      </c>
      <c r="CY703" s="26"/>
      <c r="CZ703" s="12"/>
      <c r="DA703" s="9"/>
      <c r="DB703" s="10"/>
      <c r="DC703" s="64">
        <v>2</v>
      </c>
      <c r="DD703" s="22"/>
    </row>
    <row r="704" spans="1:108" s="119" customFormat="1" ht="108" outlineLevel="2">
      <c r="A704" s="178">
        <v>40411</v>
      </c>
      <c r="B704" s="82" t="s">
        <v>1360</v>
      </c>
      <c r="C704" s="82" t="s">
        <v>2105</v>
      </c>
      <c r="D704" s="165" t="s">
        <v>1262</v>
      </c>
      <c r="E704" s="167"/>
      <c r="F704" s="66"/>
      <c r="G704" s="66"/>
      <c r="H704" s="66">
        <f>336*5</f>
        <v>1680</v>
      </c>
      <c r="I704" s="66">
        <v>336</v>
      </c>
      <c r="J704" s="66"/>
      <c r="K704" s="66">
        <v>336</v>
      </c>
      <c r="L704" s="66"/>
      <c r="M704" s="66"/>
      <c r="N704" s="66"/>
      <c r="O704" s="66"/>
      <c r="P704" s="66"/>
      <c r="Q704" s="66"/>
      <c r="R704" s="66"/>
      <c r="S704" s="66"/>
      <c r="T704" s="67"/>
      <c r="U704" s="151"/>
      <c r="V704" s="1">
        <v>40443</v>
      </c>
      <c r="W704" s="68">
        <f t="shared" si="177"/>
        <v>15140320</v>
      </c>
      <c r="X704" s="68">
        <f t="shared" si="178"/>
        <v>59160000</v>
      </c>
      <c r="Y704" s="68">
        <f t="shared" si="179"/>
        <v>0</v>
      </c>
      <c r="Z704" s="68">
        <f t="shared" si="180"/>
        <v>0</v>
      </c>
      <c r="AA704" s="68"/>
      <c r="AB704" s="68">
        <v>0</v>
      </c>
      <c r="AC704" s="69">
        <f t="shared" si="181"/>
        <v>74300320</v>
      </c>
      <c r="AD704" s="70">
        <v>0</v>
      </c>
      <c r="AE704" s="63">
        <v>40413</v>
      </c>
      <c r="AF704" s="72">
        <v>38767</v>
      </c>
      <c r="AG704" s="63" t="s">
        <v>954</v>
      </c>
      <c r="AH704" s="23" t="s">
        <v>955</v>
      </c>
      <c r="AI704" s="75" t="s">
        <v>406</v>
      </c>
      <c r="AJ704" s="133" t="s">
        <v>415</v>
      </c>
      <c r="AK704" s="73" t="s">
        <v>2281</v>
      </c>
      <c r="AL704" s="3"/>
      <c r="AM704" s="4"/>
      <c r="AN704" s="5"/>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f>1+2</f>
        <v>3</v>
      </c>
      <c r="BY704" s="4">
        <f>1*520000+2*504000</f>
        <v>1528000</v>
      </c>
      <c r="BZ704" s="4"/>
      <c r="CA704" s="4"/>
      <c r="CB704" s="4"/>
      <c r="CC704" s="4"/>
      <c r="CD704" s="4"/>
      <c r="CE704" s="4"/>
      <c r="CF704" s="4"/>
      <c r="CG704" s="4"/>
      <c r="CH704" s="4"/>
      <c r="CI704" s="4"/>
      <c r="CJ704" s="4"/>
      <c r="CK704" s="4"/>
      <c r="CL704" s="4"/>
      <c r="CM704" s="4"/>
      <c r="CN704" s="6">
        <f>200+160</f>
        <v>360</v>
      </c>
      <c r="CO704" s="7">
        <f>200*38500+160*36952</f>
        <v>13612320</v>
      </c>
      <c r="CP704" s="6"/>
      <c r="CQ704" s="7"/>
      <c r="CR704" s="6"/>
      <c r="CS704" s="7"/>
      <c r="CT704" s="8">
        <f t="shared" si="182"/>
        <v>15140320</v>
      </c>
      <c r="CU704" s="9"/>
      <c r="CV704" s="10"/>
      <c r="CW704" s="11">
        <f>200+160+336</f>
        <v>696</v>
      </c>
      <c r="CX704" s="12">
        <f>200*85000+160*85000+336*85000</f>
        <v>59160000</v>
      </c>
      <c r="CY704" s="26"/>
      <c r="CZ704" s="12"/>
      <c r="DA704" s="9"/>
      <c r="DB704" s="10"/>
      <c r="DC704" s="64"/>
      <c r="DD704" s="22"/>
    </row>
    <row r="705" spans="1:108" s="119" customFormat="1" ht="120" outlineLevel="2">
      <c r="A705" s="178">
        <v>40430</v>
      </c>
      <c r="B705" s="82" t="s">
        <v>1360</v>
      </c>
      <c r="C705" s="174" t="s">
        <v>2228</v>
      </c>
      <c r="D705" s="179" t="s">
        <v>1262</v>
      </c>
      <c r="E705" s="163"/>
      <c r="F705" s="105"/>
      <c r="G705" s="105"/>
      <c r="H705" s="105"/>
      <c r="I705" s="105"/>
      <c r="J705" s="105"/>
      <c r="K705" s="105"/>
      <c r="L705" s="105"/>
      <c r="M705" s="105"/>
      <c r="N705" s="105"/>
      <c r="O705" s="105"/>
      <c r="P705" s="105"/>
      <c r="Q705" s="105"/>
      <c r="R705" s="105"/>
      <c r="S705" s="105"/>
      <c r="T705" s="106"/>
      <c r="U705" s="130"/>
      <c r="V705" s="1">
        <v>40459</v>
      </c>
      <c r="W705" s="68">
        <f t="shared" si="177"/>
        <v>87905996.799999997</v>
      </c>
      <c r="X705" s="68">
        <f t="shared" si="178"/>
        <v>680000000</v>
      </c>
      <c r="Y705" s="68">
        <f t="shared" si="179"/>
        <v>0</v>
      </c>
      <c r="Z705" s="68">
        <f t="shared" si="180"/>
        <v>0</v>
      </c>
      <c r="AA705" s="68"/>
      <c r="AB705" s="68">
        <v>37000000</v>
      </c>
      <c r="AC705" s="69">
        <f t="shared" si="181"/>
        <v>804905996.79999995</v>
      </c>
      <c r="AD705" s="70">
        <f>251700000+217200000+4700000-5046000-247890000-10*496999.68-2500*85000+7050000</f>
        <v>10244003.199999988</v>
      </c>
      <c r="AE705" s="63">
        <v>40429</v>
      </c>
      <c r="AF705" s="72">
        <v>38767</v>
      </c>
      <c r="AG705" s="63" t="s">
        <v>954</v>
      </c>
      <c r="AH705" s="23" t="s">
        <v>955</v>
      </c>
      <c r="AI705" s="75" t="s">
        <v>49</v>
      </c>
      <c r="AJ705" s="124" t="s">
        <v>1476</v>
      </c>
      <c r="AK705" s="125" t="s">
        <v>50</v>
      </c>
      <c r="AL705" s="107"/>
      <c r="AM705" s="108"/>
      <c r="AN705" s="109"/>
      <c r="AO705" s="108"/>
      <c r="AP705" s="108"/>
      <c r="AQ705" s="108"/>
      <c r="AR705" s="108"/>
      <c r="AS705" s="108"/>
      <c r="AT705" s="108"/>
      <c r="AU705" s="108"/>
      <c r="AV705" s="108"/>
      <c r="AW705" s="108"/>
      <c r="AX705" s="108"/>
      <c r="AY705" s="108"/>
      <c r="AZ705" s="108"/>
      <c r="BA705" s="108"/>
      <c r="BB705" s="108"/>
      <c r="BC705" s="108"/>
      <c r="BD705" s="108"/>
      <c r="BE705" s="108"/>
      <c r="BF705" s="108"/>
      <c r="BG705" s="108"/>
      <c r="BH705" s="108"/>
      <c r="BI705" s="108"/>
      <c r="BJ705" s="108"/>
      <c r="BK705" s="108"/>
      <c r="BL705" s="108"/>
      <c r="BM705" s="108"/>
      <c r="BN705" s="108"/>
      <c r="BO705" s="108"/>
      <c r="BP705" s="108"/>
      <c r="BQ705" s="108"/>
      <c r="BR705" s="108"/>
      <c r="BS705" s="108"/>
      <c r="BT705" s="108"/>
      <c r="BU705" s="108"/>
      <c r="BV705" s="108"/>
      <c r="BW705" s="108"/>
      <c r="BX705" s="108">
        <f>10+10+10</f>
        <v>30</v>
      </c>
      <c r="BY705" s="108">
        <f>10*504600+10*470000+10*496999.68</f>
        <v>14715996.800000001</v>
      </c>
      <c r="BZ705" s="108"/>
      <c r="CA705" s="108"/>
      <c r="CB705" s="108"/>
      <c r="CC705" s="108"/>
      <c r="CD705" s="108"/>
      <c r="CE705" s="108"/>
      <c r="CF705" s="108"/>
      <c r="CG705" s="108"/>
      <c r="CH705" s="108"/>
      <c r="CI705" s="108"/>
      <c r="CJ705" s="108"/>
      <c r="CK705" s="108"/>
      <c r="CL705" s="108"/>
      <c r="CM705" s="108"/>
      <c r="CN705" s="110">
        <v>2000</v>
      </c>
      <c r="CO705" s="111">
        <f>2000*36595</f>
        <v>73190000</v>
      </c>
      <c r="CP705" s="110"/>
      <c r="CQ705" s="111"/>
      <c r="CR705" s="110"/>
      <c r="CS705" s="111"/>
      <c r="CT705" s="112">
        <f t="shared" si="182"/>
        <v>87905996.799999997</v>
      </c>
      <c r="CU705" s="113"/>
      <c r="CV705" s="114"/>
      <c r="CW705" s="115">
        <f>2000+2500+3500</f>
        <v>8000</v>
      </c>
      <c r="CX705" s="116">
        <f>2000*85000+2500*85000+3500*85000</f>
        <v>680000000</v>
      </c>
      <c r="CY705" s="117"/>
      <c r="CZ705" s="116"/>
      <c r="DA705" s="113"/>
      <c r="DB705" s="114"/>
      <c r="DC705" s="64"/>
      <c r="DD705" s="118"/>
    </row>
    <row r="706" spans="1:108" s="119" customFormat="1" ht="24" outlineLevel="2">
      <c r="A706" s="178">
        <v>40437</v>
      </c>
      <c r="B706" s="82" t="s">
        <v>1360</v>
      </c>
      <c r="C706" s="164" t="s">
        <v>1290</v>
      </c>
      <c r="D706" s="166" t="s">
        <v>1200</v>
      </c>
      <c r="E706" s="163"/>
      <c r="F706" s="105"/>
      <c r="G706" s="105"/>
      <c r="H706" s="105">
        <v>105</v>
      </c>
      <c r="I706" s="105">
        <v>22</v>
      </c>
      <c r="J706" s="105"/>
      <c r="K706" s="105">
        <v>22</v>
      </c>
      <c r="L706" s="105"/>
      <c r="M706" s="105"/>
      <c r="N706" s="105"/>
      <c r="O706" s="105"/>
      <c r="P706" s="105"/>
      <c r="Q706" s="105"/>
      <c r="R706" s="105"/>
      <c r="S706" s="105"/>
      <c r="T706" s="106"/>
      <c r="U706" s="130"/>
      <c r="V706" s="1"/>
      <c r="W706" s="68">
        <f t="shared" si="177"/>
        <v>0</v>
      </c>
      <c r="X706" s="68">
        <f t="shared" si="178"/>
        <v>0</v>
      </c>
      <c r="Y706" s="68">
        <f t="shared" si="179"/>
        <v>0</v>
      </c>
      <c r="Z706" s="68">
        <f t="shared" si="180"/>
        <v>0</v>
      </c>
      <c r="AA706" s="68"/>
      <c r="AB706" s="68">
        <v>0</v>
      </c>
      <c r="AC706" s="69">
        <f t="shared" si="181"/>
        <v>0</v>
      </c>
      <c r="AD706" s="70">
        <v>0</v>
      </c>
      <c r="AE706" s="63">
        <v>40441</v>
      </c>
      <c r="AF706" s="72"/>
      <c r="AG706" s="63" t="s">
        <v>938</v>
      </c>
      <c r="AH706" s="23" t="s">
        <v>939</v>
      </c>
      <c r="AI706" s="60"/>
      <c r="AJ706" s="124" t="s">
        <v>1608</v>
      </c>
      <c r="AK706" s="121" t="s">
        <v>1291</v>
      </c>
      <c r="AL706" s="107"/>
      <c r="AM706" s="108"/>
      <c r="AN706" s="109"/>
      <c r="AO706" s="108"/>
      <c r="AP706" s="108"/>
      <c r="AQ706" s="108"/>
      <c r="AR706" s="108"/>
      <c r="AS706" s="108"/>
      <c r="AT706" s="108"/>
      <c r="AU706" s="108"/>
      <c r="AV706" s="108"/>
      <c r="AW706" s="108"/>
      <c r="AX706" s="108"/>
      <c r="AY706" s="108"/>
      <c r="AZ706" s="108"/>
      <c r="BA706" s="108"/>
      <c r="BB706" s="108"/>
      <c r="BC706" s="108"/>
      <c r="BD706" s="108"/>
      <c r="BE706" s="108"/>
      <c r="BF706" s="108"/>
      <c r="BG706" s="108"/>
      <c r="BH706" s="108"/>
      <c r="BI706" s="108"/>
      <c r="BJ706" s="108"/>
      <c r="BK706" s="108"/>
      <c r="BL706" s="108"/>
      <c r="BM706" s="108"/>
      <c r="BN706" s="108"/>
      <c r="BO706" s="108"/>
      <c r="BP706" s="108"/>
      <c r="BQ706" s="108"/>
      <c r="BR706" s="108"/>
      <c r="BS706" s="108"/>
      <c r="BT706" s="108"/>
      <c r="BU706" s="108"/>
      <c r="BV706" s="108"/>
      <c r="BW706" s="108"/>
      <c r="BX706" s="108"/>
      <c r="BY706" s="108"/>
      <c r="BZ706" s="108"/>
      <c r="CA706" s="108"/>
      <c r="CB706" s="108"/>
      <c r="CC706" s="108"/>
      <c r="CD706" s="108"/>
      <c r="CE706" s="108"/>
      <c r="CF706" s="108"/>
      <c r="CG706" s="108"/>
      <c r="CH706" s="108"/>
      <c r="CI706" s="108"/>
      <c r="CJ706" s="108"/>
      <c r="CK706" s="108"/>
      <c r="CL706" s="108"/>
      <c r="CM706" s="108"/>
      <c r="CN706" s="110"/>
      <c r="CO706" s="111"/>
      <c r="CP706" s="110"/>
      <c r="CQ706" s="111"/>
      <c r="CR706" s="110"/>
      <c r="CS706" s="111"/>
      <c r="CT706" s="112">
        <f t="shared" si="182"/>
        <v>0</v>
      </c>
      <c r="CU706" s="113"/>
      <c r="CV706" s="114"/>
      <c r="CW706" s="115"/>
      <c r="CX706" s="116"/>
      <c r="CY706" s="117"/>
      <c r="CZ706" s="116"/>
      <c r="DA706" s="113"/>
      <c r="DB706" s="114"/>
      <c r="DC706" s="64"/>
      <c r="DD706" s="118"/>
    </row>
    <row r="707" spans="1:108" s="119" customFormat="1" ht="33.75" outlineLevel="2">
      <c r="A707" s="178">
        <v>40441</v>
      </c>
      <c r="B707" s="82" t="s">
        <v>1360</v>
      </c>
      <c r="C707" s="164" t="s">
        <v>953</v>
      </c>
      <c r="D707" s="166" t="s">
        <v>1262</v>
      </c>
      <c r="E707" s="163"/>
      <c r="F707" s="105"/>
      <c r="G707" s="105"/>
      <c r="H707" s="105"/>
      <c r="I707" s="105"/>
      <c r="J707" s="105"/>
      <c r="K707" s="105"/>
      <c r="L707" s="105"/>
      <c r="M707" s="105"/>
      <c r="N707" s="105"/>
      <c r="O707" s="105"/>
      <c r="P707" s="105"/>
      <c r="Q707" s="105"/>
      <c r="R707" s="105"/>
      <c r="S707" s="105"/>
      <c r="T707" s="106"/>
      <c r="U707" s="130"/>
      <c r="V707" s="1">
        <v>40466</v>
      </c>
      <c r="W707" s="68">
        <f t="shared" si="177"/>
        <v>0</v>
      </c>
      <c r="X707" s="68">
        <f t="shared" si="178"/>
        <v>0</v>
      </c>
      <c r="Y707" s="68">
        <f t="shared" si="179"/>
        <v>0</v>
      </c>
      <c r="Z707" s="68">
        <f t="shared" si="180"/>
        <v>434130000</v>
      </c>
      <c r="AA707" s="68"/>
      <c r="AB707" s="68">
        <v>0</v>
      </c>
      <c r="AC707" s="69">
        <f t="shared" si="181"/>
        <v>434130000</v>
      </c>
      <c r="AD707" s="70">
        <v>0</v>
      </c>
      <c r="AE707" s="63">
        <v>40441</v>
      </c>
      <c r="AF707" s="72">
        <v>38575</v>
      </c>
      <c r="AG707" s="63" t="s">
        <v>954</v>
      </c>
      <c r="AH707" s="23" t="s">
        <v>955</v>
      </c>
      <c r="AI707" s="75" t="s">
        <v>2414</v>
      </c>
      <c r="AJ707" s="124" t="s">
        <v>1122</v>
      </c>
      <c r="AK707" s="121" t="s">
        <v>1337</v>
      </c>
      <c r="AL707" s="107"/>
      <c r="AM707" s="108"/>
      <c r="AN707" s="109"/>
      <c r="AO707" s="108"/>
      <c r="AP707" s="108"/>
      <c r="AQ707" s="108"/>
      <c r="AR707" s="108"/>
      <c r="AS707" s="108"/>
      <c r="AT707" s="108"/>
      <c r="AU707" s="108"/>
      <c r="AV707" s="108"/>
      <c r="AW707" s="108"/>
      <c r="AX707" s="108"/>
      <c r="AY707" s="108"/>
      <c r="AZ707" s="108"/>
      <c r="BA707" s="108"/>
      <c r="BB707" s="108"/>
      <c r="BC707" s="108"/>
      <c r="BD707" s="108"/>
      <c r="BE707" s="108"/>
      <c r="BF707" s="108"/>
      <c r="BG707" s="108"/>
      <c r="BH707" s="108"/>
      <c r="BI707" s="108"/>
      <c r="BJ707" s="108"/>
      <c r="BK707" s="108"/>
      <c r="BL707" s="108"/>
      <c r="BM707" s="108"/>
      <c r="BN707" s="108"/>
      <c r="BO707" s="108"/>
      <c r="BP707" s="108"/>
      <c r="BQ707" s="108"/>
      <c r="BR707" s="108"/>
      <c r="BS707" s="108"/>
      <c r="BT707" s="108"/>
      <c r="BU707" s="108"/>
      <c r="BV707" s="108"/>
      <c r="BW707" s="108"/>
      <c r="BX707" s="108"/>
      <c r="BY707" s="108"/>
      <c r="BZ707" s="108"/>
      <c r="CA707" s="108"/>
      <c r="CB707" s="108"/>
      <c r="CC707" s="108"/>
      <c r="CD707" s="108"/>
      <c r="CE707" s="108"/>
      <c r="CF707" s="108"/>
      <c r="CG707" s="108"/>
      <c r="CH707" s="108"/>
      <c r="CI707" s="108"/>
      <c r="CJ707" s="108"/>
      <c r="CK707" s="108"/>
      <c r="CL707" s="108"/>
      <c r="CM707" s="108"/>
      <c r="CN707" s="110"/>
      <c r="CO707" s="111"/>
      <c r="CP707" s="110"/>
      <c r="CQ707" s="111"/>
      <c r="CR707" s="110"/>
      <c r="CS707" s="111"/>
      <c r="CT707" s="112">
        <f t="shared" si="182"/>
        <v>0</v>
      </c>
      <c r="CU707" s="113">
        <f>50000+210000+200000</f>
        <v>460000</v>
      </c>
      <c r="CV707" s="114">
        <f>50000*899+210000*986+200000*910.6</f>
        <v>434130000</v>
      </c>
      <c r="CW707" s="115"/>
      <c r="CX707" s="116"/>
      <c r="CY707" s="117"/>
      <c r="CZ707" s="116"/>
      <c r="DA707" s="113"/>
      <c r="DB707" s="114"/>
      <c r="DC707" s="64"/>
      <c r="DD707" s="118"/>
    </row>
    <row r="708" spans="1:108" s="119" customFormat="1" ht="78.75" outlineLevel="2">
      <c r="A708" s="178">
        <v>40441</v>
      </c>
      <c r="B708" s="82" t="s">
        <v>1360</v>
      </c>
      <c r="C708" s="164" t="s">
        <v>854</v>
      </c>
      <c r="D708" s="166" t="s">
        <v>1262</v>
      </c>
      <c r="E708" s="163"/>
      <c r="F708" s="105"/>
      <c r="G708" s="105"/>
      <c r="H708" s="105"/>
      <c r="I708" s="105"/>
      <c r="J708" s="105"/>
      <c r="K708" s="105"/>
      <c r="L708" s="105"/>
      <c r="M708" s="105"/>
      <c r="N708" s="105"/>
      <c r="O708" s="105"/>
      <c r="P708" s="105"/>
      <c r="Q708" s="105"/>
      <c r="R708" s="105"/>
      <c r="S708" s="105"/>
      <c r="T708" s="106"/>
      <c r="U708" s="130"/>
      <c r="V708" s="1">
        <v>40459</v>
      </c>
      <c r="W708" s="68">
        <f t="shared" si="177"/>
        <v>11527996.800000001</v>
      </c>
      <c r="X708" s="68">
        <f t="shared" si="178"/>
        <v>877625000</v>
      </c>
      <c r="Y708" s="68">
        <f t="shared" si="179"/>
        <v>0</v>
      </c>
      <c r="Z708" s="68">
        <f t="shared" si="180"/>
        <v>0</v>
      </c>
      <c r="AA708" s="68">
        <f>2*4408000</f>
        <v>8816000</v>
      </c>
      <c r="AB708" s="68">
        <v>0</v>
      </c>
      <c r="AC708" s="69">
        <f t="shared" si="181"/>
        <v>897968996.79999995</v>
      </c>
      <c r="AD708" s="70">
        <v>0</v>
      </c>
      <c r="AE708" s="63">
        <v>40441</v>
      </c>
      <c r="AF708" s="72">
        <v>41794</v>
      </c>
      <c r="AG708" s="63" t="s">
        <v>954</v>
      </c>
      <c r="AH708" s="23" t="s">
        <v>955</v>
      </c>
      <c r="AI708" s="75" t="s">
        <v>2335</v>
      </c>
      <c r="AJ708" s="133" t="s">
        <v>415</v>
      </c>
      <c r="AK708" s="121" t="s">
        <v>2336</v>
      </c>
      <c r="AL708" s="107"/>
      <c r="AM708" s="108"/>
      <c r="AN708" s="109"/>
      <c r="AO708" s="108"/>
      <c r="AP708" s="108"/>
      <c r="AQ708" s="108"/>
      <c r="AR708" s="108"/>
      <c r="AS708" s="108"/>
      <c r="AT708" s="108"/>
      <c r="AU708" s="108"/>
      <c r="AV708" s="108"/>
      <c r="AW708" s="108"/>
      <c r="AX708" s="108"/>
      <c r="AY708" s="108"/>
      <c r="AZ708" s="108"/>
      <c r="BA708" s="108"/>
      <c r="BB708" s="108"/>
      <c r="BC708" s="108"/>
      <c r="BD708" s="108"/>
      <c r="BE708" s="108"/>
      <c r="BF708" s="108"/>
      <c r="BG708" s="108"/>
      <c r="BH708" s="108"/>
      <c r="BI708" s="108"/>
      <c r="BJ708" s="108"/>
      <c r="BK708" s="108"/>
      <c r="BL708" s="108"/>
      <c r="BM708" s="108"/>
      <c r="BN708" s="108"/>
      <c r="BO708" s="108"/>
      <c r="BP708" s="108"/>
      <c r="BQ708" s="108"/>
      <c r="BR708" s="108"/>
      <c r="BS708" s="108"/>
      <c r="BT708" s="108"/>
      <c r="BU708" s="108"/>
      <c r="BV708" s="108"/>
      <c r="BW708" s="108"/>
      <c r="BX708" s="108">
        <f>10+10+3</f>
        <v>23</v>
      </c>
      <c r="BY708" s="108">
        <f>10*504600+10*496999.68+3*504000</f>
        <v>11527996.800000001</v>
      </c>
      <c r="BZ708" s="108"/>
      <c r="CA708" s="108"/>
      <c r="CB708" s="108"/>
      <c r="CC708" s="108"/>
      <c r="CD708" s="108"/>
      <c r="CE708" s="108"/>
      <c r="CF708" s="108"/>
      <c r="CG708" s="108"/>
      <c r="CH708" s="108"/>
      <c r="CI708" s="108"/>
      <c r="CJ708" s="108"/>
      <c r="CK708" s="108"/>
      <c r="CL708" s="108"/>
      <c r="CM708" s="108"/>
      <c r="CN708" s="110"/>
      <c r="CO708" s="111"/>
      <c r="CP708" s="110"/>
      <c r="CQ708" s="111"/>
      <c r="CR708" s="110"/>
      <c r="CS708" s="111"/>
      <c r="CT708" s="112">
        <f t="shared" si="182"/>
        <v>11527996.800000001</v>
      </c>
      <c r="CU708" s="113"/>
      <c r="CV708" s="114"/>
      <c r="CW708" s="115">
        <f>1000+6325+2000+1000</f>
        <v>10325</v>
      </c>
      <c r="CX708" s="116">
        <f>1000*85000+6325*85000+2000*85000+1000*85000</f>
        <v>877625000</v>
      </c>
      <c r="CY708" s="117"/>
      <c r="CZ708" s="116"/>
      <c r="DA708" s="113"/>
      <c r="DB708" s="114"/>
      <c r="DC708" s="64"/>
      <c r="DD708" s="118"/>
    </row>
    <row r="709" spans="1:108" s="119" customFormat="1" ht="22.5" outlineLevel="2">
      <c r="A709" s="178">
        <v>40444</v>
      </c>
      <c r="B709" s="82" t="s">
        <v>1360</v>
      </c>
      <c r="C709" s="164" t="s">
        <v>1331</v>
      </c>
      <c r="D709" s="166" t="s">
        <v>1262</v>
      </c>
      <c r="E709" s="163"/>
      <c r="F709" s="105"/>
      <c r="G709" s="105"/>
      <c r="H709" s="105">
        <v>40</v>
      </c>
      <c r="I709" s="105">
        <v>8</v>
      </c>
      <c r="J709" s="105"/>
      <c r="K709" s="105">
        <v>8</v>
      </c>
      <c r="L709" s="105"/>
      <c r="M709" s="105"/>
      <c r="N709" s="105"/>
      <c r="O709" s="105"/>
      <c r="P709" s="105"/>
      <c r="Q709" s="105"/>
      <c r="R709" s="105"/>
      <c r="S709" s="105"/>
      <c r="T709" s="106"/>
      <c r="U709" s="130"/>
      <c r="V709" s="1">
        <v>40504</v>
      </c>
      <c r="W709" s="68">
        <f t="shared" si="177"/>
        <v>1983616</v>
      </c>
      <c r="X709" s="68">
        <f t="shared" si="178"/>
        <v>1360000</v>
      </c>
      <c r="Y709" s="68">
        <f t="shared" si="179"/>
        <v>0</v>
      </c>
      <c r="Z709" s="68">
        <f t="shared" si="180"/>
        <v>0</v>
      </c>
      <c r="AA709" s="68"/>
      <c r="AB709" s="68">
        <v>0</v>
      </c>
      <c r="AC709" s="69">
        <f t="shared" si="181"/>
        <v>3343616</v>
      </c>
      <c r="AD709" s="70">
        <v>0</v>
      </c>
      <c r="AE709" s="63">
        <v>40504</v>
      </c>
      <c r="AF709" s="72">
        <v>40466</v>
      </c>
      <c r="AG709" s="63" t="s">
        <v>954</v>
      </c>
      <c r="AH709" s="23" t="s">
        <v>955</v>
      </c>
      <c r="AI709" s="60">
        <v>23555</v>
      </c>
      <c r="AJ709" s="124" t="s">
        <v>1122</v>
      </c>
      <c r="AK709" s="121" t="s">
        <v>2053</v>
      </c>
      <c r="AL709" s="107"/>
      <c r="AM709" s="108"/>
      <c r="AN709" s="109"/>
      <c r="AO709" s="108"/>
      <c r="AP709" s="108"/>
      <c r="AQ709" s="108"/>
      <c r="AR709" s="108"/>
      <c r="AS709" s="108"/>
      <c r="AT709" s="108"/>
      <c r="AU709" s="108"/>
      <c r="AV709" s="108"/>
      <c r="AW709" s="108"/>
      <c r="AX709" s="108">
        <v>25</v>
      </c>
      <c r="AY709" s="108">
        <f>25*56000</f>
        <v>1400000</v>
      </c>
      <c r="AZ709" s="108"/>
      <c r="BA709" s="108"/>
      <c r="BB709" s="108"/>
      <c r="BC709" s="108"/>
      <c r="BD709" s="108"/>
      <c r="BE709" s="108"/>
      <c r="BF709" s="108"/>
      <c r="BG709" s="108"/>
      <c r="BH709" s="108"/>
      <c r="BI709" s="108"/>
      <c r="BJ709" s="108"/>
      <c r="BK709" s="108"/>
      <c r="BL709" s="108"/>
      <c r="BM709" s="108"/>
      <c r="BN709" s="108"/>
      <c r="BO709" s="108"/>
      <c r="BP709" s="108"/>
      <c r="BQ709" s="108"/>
      <c r="BR709" s="108"/>
      <c r="BS709" s="108"/>
      <c r="BT709" s="108"/>
      <c r="BU709" s="108"/>
      <c r="BV709" s="108"/>
      <c r="BW709" s="108"/>
      <c r="BX709" s="108"/>
      <c r="BY709" s="108"/>
      <c r="BZ709" s="108"/>
      <c r="CA709" s="108"/>
      <c r="CB709" s="108"/>
      <c r="CC709" s="108"/>
      <c r="CD709" s="108"/>
      <c r="CE709" s="108"/>
      <c r="CF709" s="108"/>
      <c r="CG709" s="108"/>
      <c r="CH709" s="108"/>
      <c r="CI709" s="108"/>
      <c r="CJ709" s="108"/>
      <c r="CK709" s="108"/>
      <c r="CL709" s="108"/>
      <c r="CM709" s="108"/>
      <c r="CN709" s="110">
        <v>8</v>
      </c>
      <c r="CO709" s="111">
        <f>8*36952</f>
        <v>295616</v>
      </c>
      <c r="CP709" s="110">
        <v>8</v>
      </c>
      <c r="CQ709" s="111">
        <f>8*36000</f>
        <v>288000</v>
      </c>
      <c r="CR709" s="110"/>
      <c r="CS709" s="111"/>
      <c r="CT709" s="112">
        <f t="shared" si="182"/>
        <v>1983616</v>
      </c>
      <c r="CU709" s="113"/>
      <c r="CV709" s="114"/>
      <c r="CW709" s="115">
        <f>8+8</f>
        <v>16</v>
      </c>
      <c r="CX709" s="116">
        <f>8*85000+8*85000</f>
        <v>1360000</v>
      </c>
      <c r="CY709" s="117"/>
      <c r="CZ709" s="116"/>
      <c r="DA709" s="113"/>
      <c r="DB709" s="114"/>
      <c r="DC709" s="64"/>
      <c r="DD709" s="118"/>
    </row>
    <row r="710" spans="1:108" s="119" customFormat="1" ht="45" outlineLevel="2">
      <c r="A710" s="178">
        <v>40465</v>
      </c>
      <c r="B710" s="82" t="s">
        <v>1360</v>
      </c>
      <c r="C710" s="164" t="s">
        <v>819</v>
      </c>
      <c r="D710" s="166" t="s">
        <v>1262</v>
      </c>
      <c r="E710" s="163"/>
      <c r="F710" s="105"/>
      <c r="G710" s="105"/>
      <c r="H710" s="105">
        <f>165*5</f>
        <v>825</v>
      </c>
      <c r="I710" s="105">
        <v>165</v>
      </c>
      <c r="J710" s="105"/>
      <c r="K710" s="105">
        <v>165</v>
      </c>
      <c r="L710" s="105"/>
      <c r="M710" s="105"/>
      <c r="N710" s="105"/>
      <c r="O710" s="105"/>
      <c r="P710" s="105"/>
      <c r="Q710" s="105"/>
      <c r="R710" s="105"/>
      <c r="S710" s="105"/>
      <c r="T710" s="106"/>
      <c r="U710" s="130"/>
      <c r="V710" s="1"/>
      <c r="W710" s="68">
        <f t="shared" si="177"/>
        <v>0</v>
      </c>
      <c r="X710" s="68">
        <f t="shared" si="178"/>
        <v>14025000</v>
      </c>
      <c r="Y710" s="68">
        <f t="shared" si="179"/>
        <v>0</v>
      </c>
      <c r="Z710" s="68">
        <f t="shared" si="180"/>
        <v>0</v>
      </c>
      <c r="AA710" s="68"/>
      <c r="AB710" s="68">
        <v>0</v>
      </c>
      <c r="AC710" s="69">
        <f t="shared" si="181"/>
        <v>14025000</v>
      </c>
      <c r="AD710" s="70">
        <v>0</v>
      </c>
      <c r="AE710" s="63">
        <v>40465</v>
      </c>
      <c r="AF710" s="72"/>
      <c r="AG710" s="63" t="s">
        <v>954</v>
      </c>
      <c r="AH710" s="23" t="s">
        <v>955</v>
      </c>
      <c r="AI710" s="60"/>
      <c r="AJ710" s="133" t="s">
        <v>415</v>
      </c>
      <c r="AK710" s="121"/>
      <c r="AL710" s="107"/>
      <c r="AM710" s="108"/>
      <c r="AN710" s="109"/>
      <c r="AO710" s="108"/>
      <c r="AP710" s="108"/>
      <c r="AQ710" s="108"/>
      <c r="AR710" s="108"/>
      <c r="AS710" s="108"/>
      <c r="AT710" s="108"/>
      <c r="AU710" s="108"/>
      <c r="AV710" s="108"/>
      <c r="AW710" s="108"/>
      <c r="AX710" s="108"/>
      <c r="AY710" s="108"/>
      <c r="AZ710" s="108"/>
      <c r="BA710" s="108"/>
      <c r="BB710" s="108"/>
      <c r="BC710" s="108"/>
      <c r="BD710" s="108"/>
      <c r="BE710" s="108"/>
      <c r="BF710" s="108"/>
      <c r="BG710" s="108"/>
      <c r="BH710" s="108"/>
      <c r="BI710" s="108"/>
      <c r="BJ710" s="108"/>
      <c r="BK710" s="108"/>
      <c r="BL710" s="108"/>
      <c r="BM710" s="108"/>
      <c r="BN710" s="108"/>
      <c r="BO710" s="108"/>
      <c r="BP710" s="108"/>
      <c r="BQ710" s="108"/>
      <c r="BR710" s="108"/>
      <c r="BS710" s="108"/>
      <c r="BT710" s="108"/>
      <c r="BU710" s="108"/>
      <c r="BV710" s="108"/>
      <c r="BW710" s="108"/>
      <c r="BX710" s="108"/>
      <c r="BY710" s="108"/>
      <c r="BZ710" s="108"/>
      <c r="CA710" s="108"/>
      <c r="CB710" s="108"/>
      <c r="CC710" s="108"/>
      <c r="CD710" s="108"/>
      <c r="CE710" s="108"/>
      <c r="CF710" s="108"/>
      <c r="CG710" s="108"/>
      <c r="CH710" s="108"/>
      <c r="CI710" s="108"/>
      <c r="CJ710" s="108"/>
      <c r="CK710" s="108"/>
      <c r="CL710" s="108"/>
      <c r="CM710" s="108"/>
      <c r="CN710" s="110"/>
      <c r="CO710" s="111"/>
      <c r="CP710" s="110"/>
      <c r="CQ710" s="111"/>
      <c r="CR710" s="110"/>
      <c r="CS710" s="111"/>
      <c r="CT710" s="112">
        <f t="shared" si="182"/>
        <v>0</v>
      </c>
      <c r="CU710" s="113"/>
      <c r="CV710" s="114"/>
      <c r="CW710" s="115">
        <v>165</v>
      </c>
      <c r="CX710" s="116">
        <f>165*85000</f>
        <v>14025000</v>
      </c>
      <c r="CY710" s="117"/>
      <c r="CZ710" s="116"/>
      <c r="DA710" s="113"/>
      <c r="DB710" s="114"/>
      <c r="DC710" s="64"/>
      <c r="DD710" s="118"/>
    </row>
    <row r="711" spans="1:108" s="119" customFormat="1" ht="108" outlineLevel="2">
      <c r="A711" s="178">
        <v>40465</v>
      </c>
      <c r="B711" s="82" t="s">
        <v>1360</v>
      </c>
      <c r="C711" s="164" t="s">
        <v>1810</v>
      </c>
      <c r="D711" s="166" t="s">
        <v>1262</v>
      </c>
      <c r="E711" s="163"/>
      <c r="F711" s="105"/>
      <c r="G711" s="105"/>
      <c r="H711" s="105"/>
      <c r="I711" s="105"/>
      <c r="J711" s="105"/>
      <c r="K711" s="105"/>
      <c r="L711" s="105"/>
      <c r="M711" s="105"/>
      <c r="N711" s="105"/>
      <c r="O711" s="105"/>
      <c r="P711" s="105"/>
      <c r="Q711" s="105"/>
      <c r="R711" s="105"/>
      <c r="S711" s="105"/>
      <c r="T711" s="106"/>
      <c r="U711" s="130"/>
      <c r="V711" s="1">
        <v>40506</v>
      </c>
      <c r="W711" s="68">
        <f t="shared" si="177"/>
        <v>0</v>
      </c>
      <c r="X711" s="68">
        <f t="shared" si="178"/>
        <v>0</v>
      </c>
      <c r="Y711" s="68">
        <v>106237324</v>
      </c>
      <c r="Z711" s="68">
        <f t="shared" si="180"/>
        <v>0</v>
      </c>
      <c r="AA711" s="68"/>
      <c r="AB711" s="68">
        <v>0</v>
      </c>
      <c r="AC711" s="69">
        <f t="shared" si="181"/>
        <v>106237324</v>
      </c>
      <c r="AD711" s="70">
        <v>0</v>
      </c>
      <c r="AE711" s="63">
        <v>40465</v>
      </c>
      <c r="AF711" s="72">
        <v>56379</v>
      </c>
      <c r="AG711" s="63" t="s">
        <v>954</v>
      </c>
      <c r="AH711" s="23" t="s">
        <v>955</v>
      </c>
      <c r="AI711" s="60">
        <v>23579</v>
      </c>
      <c r="AJ711" s="124"/>
      <c r="AK711" s="121" t="s">
        <v>287</v>
      </c>
      <c r="AL711" s="107"/>
      <c r="AM711" s="108"/>
      <c r="AN711" s="109"/>
      <c r="AO711" s="108"/>
      <c r="AP711" s="108"/>
      <c r="AQ711" s="108"/>
      <c r="AR711" s="108"/>
      <c r="AS711" s="108"/>
      <c r="AT711" s="108"/>
      <c r="AU711" s="108"/>
      <c r="AV711" s="108"/>
      <c r="AW711" s="108"/>
      <c r="AX711" s="108"/>
      <c r="AY711" s="108"/>
      <c r="AZ711" s="108"/>
      <c r="BA711" s="108"/>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8"/>
      <c r="CB711" s="108"/>
      <c r="CC711" s="108"/>
      <c r="CD711" s="108"/>
      <c r="CE711" s="108"/>
      <c r="CF711" s="108"/>
      <c r="CG711" s="108"/>
      <c r="CH711" s="108"/>
      <c r="CI711" s="108"/>
      <c r="CJ711" s="108"/>
      <c r="CK711" s="108"/>
      <c r="CL711" s="108"/>
      <c r="CM711" s="108"/>
      <c r="CN711" s="110"/>
      <c r="CO711" s="111"/>
      <c r="CP711" s="110"/>
      <c r="CQ711" s="111"/>
      <c r="CR711" s="110"/>
      <c r="CS711" s="111"/>
      <c r="CT711" s="112">
        <f t="shared" si="182"/>
        <v>0</v>
      </c>
      <c r="CU711" s="113"/>
      <c r="CV711" s="114"/>
      <c r="CW711" s="115"/>
      <c r="CX711" s="116"/>
      <c r="CY711" s="117"/>
      <c r="CZ711" s="116"/>
      <c r="DA711" s="113"/>
      <c r="DB711" s="114"/>
      <c r="DC711" s="64"/>
      <c r="DD711" s="118"/>
    </row>
    <row r="712" spans="1:108" s="119" customFormat="1" ht="48" outlineLevel="2">
      <c r="A712" s="178">
        <v>40491</v>
      </c>
      <c r="B712" s="82" t="s">
        <v>1360</v>
      </c>
      <c r="C712" s="164" t="s">
        <v>70</v>
      </c>
      <c r="D712" s="166" t="s">
        <v>1262</v>
      </c>
      <c r="E712" s="163"/>
      <c r="F712" s="105"/>
      <c r="G712" s="105"/>
      <c r="H712" s="105"/>
      <c r="I712" s="105"/>
      <c r="J712" s="105"/>
      <c r="K712" s="105"/>
      <c r="L712" s="105"/>
      <c r="M712" s="105"/>
      <c r="N712" s="105"/>
      <c r="O712" s="105"/>
      <c r="P712" s="105"/>
      <c r="Q712" s="105"/>
      <c r="R712" s="105"/>
      <c r="S712" s="105"/>
      <c r="T712" s="106"/>
      <c r="U712" s="130"/>
      <c r="V712" s="1">
        <v>40500</v>
      </c>
      <c r="W712" s="68">
        <f t="shared" si="177"/>
        <v>0</v>
      </c>
      <c r="X712" s="68">
        <f t="shared" si="178"/>
        <v>0</v>
      </c>
      <c r="Y712" s="68">
        <f t="shared" ref="Y712:Y717" si="183">CZ712+DB712</f>
        <v>0</v>
      </c>
      <c r="Z712" s="68">
        <f t="shared" si="180"/>
        <v>0</v>
      </c>
      <c r="AA712" s="68"/>
      <c r="AB712" s="68">
        <v>90000000</v>
      </c>
      <c r="AC712" s="69">
        <f t="shared" si="181"/>
        <v>90000000</v>
      </c>
      <c r="AD712" s="70">
        <v>0</v>
      </c>
      <c r="AE712" s="63">
        <v>40491</v>
      </c>
      <c r="AF712" s="72"/>
      <c r="AG712" s="63" t="s">
        <v>954</v>
      </c>
      <c r="AH712" s="23" t="s">
        <v>955</v>
      </c>
      <c r="AI712" s="60">
        <v>41994</v>
      </c>
      <c r="AJ712" s="124" t="s">
        <v>1863</v>
      </c>
      <c r="AK712" s="125" t="s">
        <v>71</v>
      </c>
      <c r="AL712" s="107"/>
      <c r="AM712" s="108"/>
      <c r="AN712" s="109"/>
      <c r="AO712" s="108"/>
      <c r="AP712" s="108"/>
      <c r="AQ712" s="108"/>
      <c r="AR712" s="108"/>
      <c r="AS712" s="108"/>
      <c r="AT712" s="108"/>
      <c r="AU712" s="108"/>
      <c r="AV712" s="108"/>
      <c r="AW712" s="108"/>
      <c r="AX712" s="108"/>
      <c r="AY712" s="108"/>
      <c r="AZ712" s="108"/>
      <c r="BA712" s="108"/>
      <c r="BB712" s="108"/>
      <c r="BC712" s="108"/>
      <c r="BD712" s="108"/>
      <c r="BE712" s="108"/>
      <c r="BF712" s="108"/>
      <c r="BG712" s="108"/>
      <c r="BH712" s="108"/>
      <c r="BI712" s="108"/>
      <c r="BJ712" s="108"/>
      <c r="BK712" s="108"/>
      <c r="BL712" s="108"/>
      <c r="BM712" s="108"/>
      <c r="BN712" s="108"/>
      <c r="BO712" s="108"/>
      <c r="BP712" s="108"/>
      <c r="BQ712" s="108"/>
      <c r="BR712" s="108"/>
      <c r="BS712" s="108"/>
      <c r="BT712" s="108"/>
      <c r="BU712" s="108"/>
      <c r="BV712" s="108"/>
      <c r="BW712" s="108"/>
      <c r="BX712" s="108"/>
      <c r="BY712" s="108"/>
      <c r="BZ712" s="108"/>
      <c r="CA712" s="108"/>
      <c r="CB712" s="108"/>
      <c r="CC712" s="108"/>
      <c r="CD712" s="108"/>
      <c r="CE712" s="108"/>
      <c r="CF712" s="108"/>
      <c r="CG712" s="108"/>
      <c r="CH712" s="108"/>
      <c r="CI712" s="108"/>
      <c r="CJ712" s="108"/>
      <c r="CK712" s="108"/>
      <c r="CL712" s="108"/>
      <c r="CM712" s="108"/>
      <c r="CN712" s="110"/>
      <c r="CO712" s="111"/>
      <c r="CP712" s="110"/>
      <c r="CQ712" s="111"/>
      <c r="CR712" s="110"/>
      <c r="CS712" s="111"/>
      <c r="CT712" s="112">
        <f t="shared" si="182"/>
        <v>0</v>
      </c>
      <c r="CU712" s="113"/>
      <c r="CV712" s="114"/>
      <c r="CW712" s="115"/>
      <c r="CX712" s="116"/>
      <c r="CY712" s="117"/>
      <c r="CZ712" s="116"/>
      <c r="DA712" s="113"/>
      <c r="DB712" s="114"/>
      <c r="DC712" s="64" t="s">
        <v>989</v>
      </c>
      <c r="DD712" s="118"/>
    </row>
    <row r="713" spans="1:108" s="119" customFormat="1" ht="48" outlineLevel="2">
      <c r="A713" s="178">
        <v>40494</v>
      </c>
      <c r="B713" s="82" t="s">
        <v>1360</v>
      </c>
      <c r="C713" s="164" t="s">
        <v>26</v>
      </c>
      <c r="D713" s="166" t="s">
        <v>1262</v>
      </c>
      <c r="E713" s="163"/>
      <c r="F713" s="105"/>
      <c r="G713" s="105"/>
      <c r="H713" s="105"/>
      <c r="I713" s="105"/>
      <c r="J713" s="105"/>
      <c r="K713" s="105"/>
      <c r="L713" s="105"/>
      <c r="M713" s="105"/>
      <c r="N713" s="105"/>
      <c r="O713" s="105"/>
      <c r="P713" s="105"/>
      <c r="Q713" s="105"/>
      <c r="R713" s="105"/>
      <c r="S713" s="105"/>
      <c r="T713" s="106"/>
      <c r="U713" s="130"/>
      <c r="V713" s="1"/>
      <c r="W713" s="68">
        <f t="shared" si="177"/>
        <v>0</v>
      </c>
      <c r="X713" s="68">
        <f t="shared" si="178"/>
        <v>0</v>
      </c>
      <c r="Y713" s="68">
        <f t="shared" si="183"/>
        <v>0</v>
      </c>
      <c r="Z713" s="68">
        <f t="shared" si="180"/>
        <v>0</v>
      </c>
      <c r="AA713" s="68"/>
      <c r="AB713" s="68">
        <v>0</v>
      </c>
      <c r="AC713" s="69">
        <f t="shared" si="181"/>
        <v>0</v>
      </c>
      <c r="AD713" s="70">
        <v>0</v>
      </c>
      <c r="AE713" s="63">
        <v>40497</v>
      </c>
      <c r="AF713" s="72"/>
      <c r="AG713" s="63" t="s">
        <v>938</v>
      </c>
      <c r="AH713" s="23" t="s">
        <v>939</v>
      </c>
      <c r="AI713" s="60"/>
      <c r="AJ713" s="124" t="s">
        <v>1608</v>
      </c>
      <c r="AK713" s="121" t="s">
        <v>27</v>
      </c>
      <c r="AL713" s="107"/>
      <c r="AM713" s="108"/>
      <c r="AN713" s="109"/>
      <c r="AO713" s="108"/>
      <c r="AP713" s="108"/>
      <c r="AQ713" s="108"/>
      <c r="AR713" s="108"/>
      <c r="AS713" s="108"/>
      <c r="AT713" s="108"/>
      <c r="AU713" s="108"/>
      <c r="AV713" s="108"/>
      <c r="AW713" s="108"/>
      <c r="AX713" s="108"/>
      <c r="AY713" s="108"/>
      <c r="AZ713" s="108"/>
      <c r="BA713" s="108"/>
      <c r="BB713" s="108"/>
      <c r="BC713" s="108"/>
      <c r="BD713" s="108"/>
      <c r="BE713" s="108"/>
      <c r="BF713" s="108"/>
      <c r="BG713" s="108"/>
      <c r="BH713" s="108"/>
      <c r="BI713" s="108"/>
      <c r="BJ713" s="108"/>
      <c r="BK713" s="108"/>
      <c r="BL713" s="108"/>
      <c r="BM713" s="108"/>
      <c r="BN713" s="108"/>
      <c r="BO713" s="108"/>
      <c r="BP713" s="108"/>
      <c r="BQ713" s="108"/>
      <c r="BR713" s="108"/>
      <c r="BS713" s="108"/>
      <c r="BT713" s="108"/>
      <c r="BU713" s="108"/>
      <c r="BV713" s="108"/>
      <c r="BW713" s="108"/>
      <c r="BX713" s="108"/>
      <c r="BY713" s="108"/>
      <c r="BZ713" s="108"/>
      <c r="CA713" s="108"/>
      <c r="CB713" s="108"/>
      <c r="CC713" s="108"/>
      <c r="CD713" s="108"/>
      <c r="CE713" s="108"/>
      <c r="CF713" s="108"/>
      <c r="CG713" s="108"/>
      <c r="CH713" s="108"/>
      <c r="CI713" s="108"/>
      <c r="CJ713" s="108"/>
      <c r="CK713" s="108"/>
      <c r="CL713" s="108"/>
      <c r="CM713" s="108"/>
      <c r="CN713" s="110"/>
      <c r="CO713" s="111"/>
      <c r="CP713" s="110"/>
      <c r="CQ713" s="111"/>
      <c r="CR713" s="110"/>
      <c r="CS713" s="111"/>
      <c r="CT713" s="112">
        <f t="shared" si="182"/>
        <v>0</v>
      </c>
      <c r="CU713" s="113"/>
      <c r="CV713" s="114"/>
      <c r="CW713" s="115"/>
      <c r="CX713" s="116"/>
      <c r="CY713" s="117"/>
      <c r="CZ713" s="116"/>
      <c r="DA713" s="113"/>
      <c r="DB713" s="114"/>
      <c r="DC713" s="64"/>
      <c r="DD713" s="118"/>
    </row>
    <row r="714" spans="1:108" s="119" customFormat="1" ht="36" outlineLevel="2">
      <c r="A714" s="178">
        <v>40513</v>
      </c>
      <c r="B714" s="82" t="s">
        <v>1360</v>
      </c>
      <c r="C714" s="164" t="s">
        <v>2148</v>
      </c>
      <c r="D714" s="166" t="s">
        <v>1262</v>
      </c>
      <c r="E714" s="163"/>
      <c r="F714" s="105"/>
      <c r="G714" s="105"/>
      <c r="H714" s="105">
        <v>270</v>
      </c>
      <c r="I714" s="105">
        <v>60</v>
      </c>
      <c r="J714" s="105"/>
      <c r="K714" s="105">
        <v>60</v>
      </c>
      <c r="L714" s="105"/>
      <c r="M714" s="105"/>
      <c r="N714" s="105"/>
      <c r="O714" s="105"/>
      <c r="P714" s="105"/>
      <c r="Q714" s="105"/>
      <c r="R714" s="105"/>
      <c r="S714" s="105"/>
      <c r="T714" s="106"/>
      <c r="U714" s="130"/>
      <c r="V714" s="1"/>
      <c r="W714" s="68">
        <f t="shared" si="177"/>
        <v>0</v>
      </c>
      <c r="X714" s="68">
        <f t="shared" si="178"/>
        <v>0</v>
      </c>
      <c r="Y714" s="68">
        <f t="shared" si="183"/>
        <v>0</v>
      </c>
      <c r="Z714" s="68">
        <f t="shared" si="180"/>
        <v>0</v>
      </c>
      <c r="AA714" s="68"/>
      <c r="AB714" s="68">
        <v>0</v>
      </c>
      <c r="AC714" s="69">
        <f t="shared" si="181"/>
        <v>0</v>
      </c>
      <c r="AD714" s="70">
        <v>0</v>
      </c>
      <c r="AE714" s="63"/>
      <c r="AF714" s="72"/>
      <c r="AG714" s="63"/>
      <c r="AH714" s="23"/>
      <c r="AI714" s="60"/>
      <c r="AJ714" s="124"/>
      <c r="AK714" s="121" t="s">
        <v>2149</v>
      </c>
      <c r="AL714" s="107"/>
      <c r="AM714" s="108"/>
      <c r="AN714" s="109"/>
      <c r="AO714" s="108"/>
      <c r="AP714" s="108"/>
      <c r="AQ714" s="108"/>
      <c r="AR714" s="108"/>
      <c r="AS714" s="108"/>
      <c r="AT714" s="108"/>
      <c r="AU714" s="108"/>
      <c r="AV714" s="108"/>
      <c r="AW714" s="108"/>
      <c r="AX714" s="108"/>
      <c r="AY714" s="108"/>
      <c r="AZ714" s="108"/>
      <c r="BA714" s="108"/>
      <c r="BB714" s="108"/>
      <c r="BC714" s="108"/>
      <c r="BD714" s="108"/>
      <c r="BE714" s="108"/>
      <c r="BF714" s="108"/>
      <c r="BG714" s="108"/>
      <c r="BH714" s="108"/>
      <c r="BI714" s="108"/>
      <c r="BJ714" s="108"/>
      <c r="BK714" s="108"/>
      <c r="BL714" s="108"/>
      <c r="BM714" s="108"/>
      <c r="BN714" s="108"/>
      <c r="BO714" s="108"/>
      <c r="BP714" s="108"/>
      <c r="BQ714" s="108"/>
      <c r="BR714" s="108"/>
      <c r="BS714" s="108"/>
      <c r="BT714" s="108"/>
      <c r="BU714" s="108"/>
      <c r="BV714" s="108"/>
      <c r="BW714" s="108"/>
      <c r="BX714" s="108"/>
      <c r="BY714" s="108"/>
      <c r="BZ714" s="108"/>
      <c r="CA714" s="108"/>
      <c r="CB714" s="108"/>
      <c r="CC714" s="108"/>
      <c r="CD714" s="108"/>
      <c r="CE714" s="108"/>
      <c r="CF714" s="108"/>
      <c r="CG714" s="108"/>
      <c r="CH714" s="108"/>
      <c r="CI714" s="108"/>
      <c r="CJ714" s="108"/>
      <c r="CK714" s="108"/>
      <c r="CL714" s="108"/>
      <c r="CM714" s="108"/>
      <c r="CN714" s="110"/>
      <c r="CO714" s="111"/>
      <c r="CP714" s="110"/>
      <c r="CQ714" s="111"/>
      <c r="CR714" s="110"/>
      <c r="CS714" s="111"/>
      <c r="CT714" s="112">
        <f t="shared" si="182"/>
        <v>0</v>
      </c>
      <c r="CU714" s="113"/>
      <c r="CV714" s="114"/>
      <c r="CW714" s="115"/>
      <c r="CX714" s="116"/>
      <c r="CY714" s="117"/>
      <c r="CZ714" s="116"/>
      <c r="DA714" s="113"/>
      <c r="DB714" s="114"/>
      <c r="DC714" s="64"/>
      <c r="DD714" s="118"/>
    </row>
    <row r="715" spans="1:108" s="119" customFormat="1" ht="48" outlineLevel="2">
      <c r="A715" s="178">
        <v>40521</v>
      </c>
      <c r="B715" s="82" t="s">
        <v>1360</v>
      </c>
      <c r="C715" s="164" t="s">
        <v>1984</v>
      </c>
      <c r="D715" s="166" t="s">
        <v>1262</v>
      </c>
      <c r="E715" s="163"/>
      <c r="F715" s="105"/>
      <c r="G715" s="105"/>
      <c r="H715" s="105">
        <v>10692</v>
      </c>
      <c r="I715" s="105">
        <v>2376</v>
      </c>
      <c r="J715" s="105"/>
      <c r="K715" s="105">
        <v>2376</v>
      </c>
      <c r="L715" s="105"/>
      <c r="M715" s="105"/>
      <c r="N715" s="105"/>
      <c r="O715" s="105"/>
      <c r="P715" s="105"/>
      <c r="Q715" s="105"/>
      <c r="R715" s="105"/>
      <c r="S715" s="105"/>
      <c r="T715" s="106"/>
      <c r="U715" s="130"/>
      <c r="V715" s="1"/>
      <c r="W715" s="68">
        <f t="shared" si="177"/>
        <v>0</v>
      </c>
      <c r="X715" s="68">
        <f t="shared" si="178"/>
        <v>0</v>
      </c>
      <c r="Y715" s="68">
        <f t="shared" si="183"/>
        <v>0</v>
      </c>
      <c r="Z715" s="68">
        <f t="shared" si="180"/>
        <v>0</v>
      </c>
      <c r="AA715" s="68"/>
      <c r="AB715" s="68">
        <v>0</v>
      </c>
      <c r="AC715" s="69">
        <f t="shared" si="181"/>
        <v>0</v>
      </c>
      <c r="AD715" s="70">
        <v>0</v>
      </c>
      <c r="AE715" s="63"/>
      <c r="AF715" s="72"/>
      <c r="AG715" s="63"/>
      <c r="AH715" s="23"/>
      <c r="AI715" s="60"/>
      <c r="AJ715" s="124"/>
      <c r="AK715" s="121" t="s">
        <v>2435</v>
      </c>
      <c r="AL715" s="107"/>
      <c r="AM715" s="108"/>
      <c r="AN715" s="109"/>
      <c r="AO715" s="108"/>
      <c r="AP715" s="108"/>
      <c r="AQ715" s="108"/>
      <c r="AR715" s="108"/>
      <c r="AS715" s="108"/>
      <c r="AT715" s="108"/>
      <c r="AU715" s="108"/>
      <c r="AV715" s="108"/>
      <c r="AW715" s="108"/>
      <c r="AX715" s="108"/>
      <c r="AY715" s="108"/>
      <c r="AZ715" s="108"/>
      <c r="BA715" s="108"/>
      <c r="BB715" s="108"/>
      <c r="BC715" s="108"/>
      <c r="BD715" s="108"/>
      <c r="BE715" s="108"/>
      <c r="BF715" s="108"/>
      <c r="BG715" s="108"/>
      <c r="BH715" s="108"/>
      <c r="BI715" s="108"/>
      <c r="BJ715" s="108"/>
      <c r="BK715" s="108"/>
      <c r="BL715" s="108"/>
      <c r="BM715" s="108"/>
      <c r="BN715" s="108"/>
      <c r="BO715" s="108"/>
      <c r="BP715" s="108"/>
      <c r="BQ715" s="108"/>
      <c r="BR715" s="108"/>
      <c r="BS715" s="108"/>
      <c r="BT715" s="108"/>
      <c r="BU715" s="108"/>
      <c r="BV715" s="108"/>
      <c r="BW715" s="108"/>
      <c r="BX715" s="108"/>
      <c r="BY715" s="108"/>
      <c r="BZ715" s="108"/>
      <c r="CA715" s="108"/>
      <c r="CB715" s="108"/>
      <c r="CC715" s="108"/>
      <c r="CD715" s="108"/>
      <c r="CE715" s="108"/>
      <c r="CF715" s="108"/>
      <c r="CG715" s="108"/>
      <c r="CH715" s="108"/>
      <c r="CI715" s="108"/>
      <c r="CJ715" s="108"/>
      <c r="CK715" s="108"/>
      <c r="CL715" s="108"/>
      <c r="CM715" s="108"/>
      <c r="CN715" s="110"/>
      <c r="CO715" s="111"/>
      <c r="CP715" s="110"/>
      <c r="CQ715" s="111"/>
      <c r="CR715" s="110"/>
      <c r="CS715" s="111"/>
      <c r="CT715" s="112">
        <f t="shared" si="182"/>
        <v>0</v>
      </c>
      <c r="CU715" s="113"/>
      <c r="CV715" s="114"/>
      <c r="CW715" s="115"/>
      <c r="CX715" s="116"/>
      <c r="CY715" s="117"/>
      <c r="CZ715" s="116"/>
      <c r="DA715" s="113"/>
      <c r="DB715" s="114"/>
      <c r="DC715" s="64"/>
      <c r="DD715" s="118"/>
    </row>
    <row r="716" spans="1:108" s="119" customFormat="1" ht="33.75" outlineLevel="2">
      <c r="A716" s="178">
        <v>40521</v>
      </c>
      <c r="B716" s="82" t="s">
        <v>1360</v>
      </c>
      <c r="C716" s="164" t="s">
        <v>1667</v>
      </c>
      <c r="D716" s="166" t="s">
        <v>435</v>
      </c>
      <c r="E716" s="163"/>
      <c r="F716" s="105"/>
      <c r="G716" s="105"/>
      <c r="H716" s="105">
        <v>450</v>
      </c>
      <c r="I716" s="105">
        <v>90</v>
      </c>
      <c r="J716" s="105"/>
      <c r="K716" s="105">
        <v>90</v>
      </c>
      <c r="L716" s="105"/>
      <c r="M716" s="105"/>
      <c r="N716" s="105"/>
      <c r="O716" s="105"/>
      <c r="P716" s="105"/>
      <c r="Q716" s="105"/>
      <c r="R716" s="105"/>
      <c r="S716" s="105"/>
      <c r="T716" s="106"/>
      <c r="U716" s="130"/>
      <c r="V716" s="1"/>
      <c r="W716" s="68">
        <f t="shared" si="177"/>
        <v>0</v>
      </c>
      <c r="X716" s="68">
        <f t="shared" si="178"/>
        <v>0</v>
      </c>
      <c r="Y716" s="68">
        <f t="shared" si="183"/>
        <v>0</v>
      </c>
      <c r="Z716" s="68">
        <f t="shared" si="180"/>
        <v>0</v>
      </c>
      <c r="AA716" s="68"/>
      <c r="AB716" s="68">
        <v>0</v>
      </c>
      <c r="AC716" s="69">
        <f t="shared" si="181"/>
        <v>0</v>
      </c>
      <c r="AD716" s="70">
        <v>0</v>
      </c>
      <c r="AE716" s="63"/>
      <c r="AF716" s="72"/>
      <c r="AG716" s="63"/>
      <c r="AH716" s="23"/>
      <c r="AI716" s="60"/>
      <c r="AJ716" s="124"/>
      <c r="AK716" s="121" t="s">
        <v>1</v>
      </c>
      <c r="AL716" s="107"/>
      <c r="AM716" s="108"/>
      <c r="AN716" s="109"/>
      <c r="AO716" s="108"/>
      <c r="AP716" s="108"/>
      <c r="AQ716" s="108"/>
      <c r="AR716" s="108"/>
      <c r="AS716" s="108"/>
      <c r="AT716" s="108"/>
      <c r="AU716" s="108"/>
      <c r="AV716" s="108"/>
      <c r="AW716" s="108"/>
      <c r="AX716" s="108"/>
      <c r="AY716" s="108"/>
      <c r="AZ716" s="108"/>
      <c r="BA716" s="108"/>
      <c r="BB716" s="108"/>
      <c r="BC716" s="108"/>
      <c r="BD716" s="108"/>
      <c r="BE716" s="108"/>
      <c r="BF716" s="108"/>
      <c r="BG716" s="108"/>
      <c r="BH716" s="108"/>
      <c r="BI716" s="108"/>
      <c r="BJ716" s="108"/>
      <c r="BK716" s="108"/>
      <c r="BL716" s="108"/>
      <c r="BM716" s="108"/>
      <c r="BN716" s="108"/>
      <c r="BO716" s="108"/>
      <c r="BP716" s="108"/>
      <c r="BQ716" s="108"/>
      <c r="BR716" s="108"/>
      <c r="BS716" s="108"/>
      <c r="BT716" s="108"/>
      <c r="BU716" s="108"/>
      <c r="BV716" s="108"/>
      <c r="BW716" s="108"/>
      <c r="BX716" s="108"/>
      <c r="BY716" s="108"/>
      <c r="BZ716" s="108"/>
      <c r="CA716" s="108"/>
      <c r="CB716" s="108"/>
      <c r="CC716" s="108"/>
      <c r="CD716" s="108"/>
      <c r="CE716" s="108"/>
      <c r="CF716" s="108"/>
      <c r="CG716" s="108"/>
      <c r="CH716" s="108"/>
      <c r="CI716" s="108"/>
      <c r="CJ716" s="108"/>
      <c r="CK716" s="108"/>
      <c r="CL716" s="108"/>
      <c r="CM716" s="108"/>
      <c r="CN716" s="110"/>
      <c r="CO716" s="111"/>
      <c r="CP716" s="110"/>
      <c r="CQ716" s="111"/>
      <c r="CR716" s="110"/>
      <c r="CS716" s="111"/>
      <c r="CT716" s="112">
        <f t="shared" si="182"/>
        <v>0</v>
      </c>
      <c r="CU716" s="113"/>
      <c r="CV716" s="114"/>
      <c r="CW716" s="115"/>
      <c r="CX716" s="116"/>
      <c r="CY716" s="117"/>
      <c r="CZ716" s="116"/>
      <c r="DA716" s="113"/>
      <c r="DB716" s="114"/>
      <c r="DC716" s="64"/>
      <c r="DD716" s="118"/>
    </row>
    <row r="717" spans="1:108" s="119" customFormat="1" ht="48" outlineLevel="2">
      <c r="A717" s="178">
        <v>40525</v>
      </c>
      <c r="B717" s="82" t="s">
        <v>1360</v>
      </c>
      <c r="C717" s="164" t="s">
        <v>2148</v>
      </c>
      <c r="D717" s="166" t="s">
        <v>1262</v>
      </c>
      <c r="E717" s="163"/>
      <c r="F717" s="105"/>
      <c r="G717" s="105"/>
      <c r="H717" s="105">
        <v>230</v>
      </c>
      <c r="I717" s="105">
        <v>60</v>
      </c>
      <c r="J717" s="105"/>
      <c r="K717" s="105">
        <v>60</v>
      </c>
      <c r="L717" s="105"/>
      <c r="M717" s="105"/>
      <c r="N717" s="105"/>
      <c r="O717" s="105"/>
      <c r="P717" s="105"/>
      <c r="Q717" s="105"/>
      <c r="R717" s="105"/>
      <c r="S717" s="105"/>
      <c r="T717" s="106"/>
      <c r="U717" s="130"/>
      <c r="V717" s="1"/>
      <c r="W717" s="68">
        <f t="shared" si="177"/>
        <v>0</v>
      </c>
      <c r="X717" s="68">
        <f t="shared" si="178"/>
        <v>0</v>
      </c>
      <c r="Y717" s="68">
        <f t="shared" si="183"/>
        <v>0</v>
      </c>
      <c r="Z717" s="68">
        <f t="shared" si="180"/>
        <v>0</v>
      </c>
      <c r="AA717" s="68"/>
      <c r="AB717" s="68">
        <v>0</v>
      </c>
      <c r="AC717" s="69">
        <f t="shared" si="181"/>
        <v>0</v>
      </c>
      <c r="AD717" s="70">
        <v>0</v>
      </c>
      <c r="AE717" s="63"/>
      <c r="AF717" s="72"/>
      <c r="AG717" s="63"/>
      <c r="AH717" s="23"/>
      <c r="AI717" s="60"/>
      <c r="AJ717" s="124"/>
      <c r="AK717" s="121" t="s">
        <v>2431</v>
      </c>
      <c r="AL717" s="107"/>
      <c r="AM717" s="108"/>
      <c r="AN717" s="109"/>
      <c r="AO717" s="108"/>
      <c r="AP717" s="108"/>
      <c r="AQ717" s="108"/>
      <c r="AR717" s="108"/>
      <c r="AS717" s="108"/>
      <c r="AT717" s="108"/>
      <c r="AU717" s="108"/>
      <c r="AV717" s="108"/>
      <c r="AW717" s="108"/>
      <c r="AX717" s="108"/>
      <c r="AY717" s="108"/>
      <c r="AZ717" s="108"/>
      <c r="BA717" s="108"/>
      <c r="BB717" s="108"/>
      <c r="BC717" s="108"/>
      <c r="BD717" s="108"/>
      <c r="BE717" s="108"/>
      <c r="BF717" s="108"/>
      <c r="BG717" s="108"/>
      <c r="BH717" s="108"/>
      <c r="BI717" s="108"/>
      <c r="BJ717" s="108"/>
      <c r="BK717" s="108"/>
      <c r="BL717" s="108"/>
      <c r="BM717" s="108"/>
      <c r="BN717" s="108"/>
      <c r="BO717" s="108"/>
      <c r="BP717" s="108"/>
      <c r="BQ717" s="108"/>
      <c r="BR717" s="108"/>
      <c r="BS717" s="108"/>
      <c r="BT717" s="108"/>
      <c r="BU717" s="108"/>
      <c r="BV717" s="108"/>
      <c r="BW717" s="108"/>
      <c r="BX717" s="108"/>
      <c r="BY717" s="108"/>
      <c r="BZ717" s="108"/>
      <c r="CA717" s="108"/>
      <c r="CB717" s="108"/>
      <c r="CC717" s="108"/>
      <c r="CD717" s="108"/>
      <c r="CE717" s="108"/>
      <c r="CF717" s="108"/>
      <c r="CG717" s="108"/>
      <c r="CH717" s="108"/>
      <c r="CI717" s="108"/>
      <c r="CJ717" s="108"/>
      <c r="CK717" s="108"/>
      <c r="CL717" s="108"/>
      <c r="CM717" s="108"/>
      <c r="CN717" s="110"/>
      <c r="CO717" s="111"/>
      <c r="CP717" s="110"/>
      <c r="CQ717" s="111"/>
      <c r="CR717" s="110"/>
      <c r="CS717" s="111"/>
      <c r="CT717" s="112">
        <f t="shared" si="182"/>
        <v>0</v>
      </c>
      <c r="CU717" s="113"/>
      <c r="CV717" s="114"/>
      <c r="CW717" s="115"/>
      <c r="CX717" s="116"/>
      <c r="CY717" s="117"/>
      <c r="CZ717" s="116"/>
      <c r="DA717" s="113"/>
      <c r="DB717" s="114"/>
      <c r="DC717" s="64"/>
      <c r="DD717" s="118"/>
    </row>
    <row r="718" spans="1:108" s="119" customFormat="1" outlineLevel="1">
      <c r="A718" s="178"/>
      <c r="B718" s="193" t="s">
        <v>2450</v>
      </c>
      <c r="C718" s="164"/>
      <c r="D718" s="166"/>
      <c r="E718" s="163">
        <f t="shared" ref="E718:T718" si="184">SUBTOTAL(9,E675:E717)</f>
        <v>0</v>
      </c>
      <c r="F718" s="105">
        <f t="shared" si="184"/>
        <v>0</v>
      </c>
      <c r="G718" s="105">
        <f t="shared" si="184"/>
        <v>0</v>
      </c>
      <c r="H718" s="105">
        <f t="shared" si="184"/>
        <v>163423</v>
      </c>
      <c r="I718" s="105">
        <f t="shared" si="184"/>
        <v>32943</v>
      </c>
      <c r="J718" s="105">
        <f t="shared" si="184"/>
        <v>22</v>
      </c>
      <c r="K718" s="105">
        <f t="shared" si="184"/>
        <v>28617</v>
      </c>
      <c r="L718" s="105">
        <f t="shared" si="184"/>
        <v>1</v>
      </c>
      <c r="M718" s="105">
        <f t="shared" si="184"/>
        <v>0</v>
      </c>
      <c r="N718" s="105">
        <f t="shared" si="184"/>
        <v>0</v>
      </c>
      <c r="O718" s="105">
        <f t="shared" si="184"/>
        <v>0</v>
      </c>
      <c r="P718" s="105">
        <f t="shared" si="184"/>
        <v>0</v>
      </c>
      <c r="Q718" s="105">
        <f t="shared" si="184"/>
        <v>0</v>
      </c>
      <c r="R718" s="105">
        <f t="shared" si="184"/>
        <v>0</v>
      </c>
      <c r="S718" s="105">
        <f t="shared" si="184"/>
        <v>0</v>
      </c>
      <c r="T718" s="106">
        <f t="shared" si="184"/>
        <v>0</v>
      </c>
      <c r="U718" s="130"/>
      <c r="V718" s="1"/>
      <c r="W718" s="68">
        <f t="shared" ref="W718:AD718" si="185">SUBTOTAL(9,W675:W717)</f>
        <v>614772329.99999988</v>
      </c>
      <c r="X718" s="68">
        <f t="shared" si="185"/>
        <v>4242775000</v>
      </c>
      <c r="Y718" s="68">
        <f t="shared" si="185"/>
        <v>106237324</v>
      </c>
      <c r="Z718" s="68">
        <f t="shared" si="185"/>
        <v>524088000</v>
      </c>
      <c r="AA718" s="68">
        <f t="shared" si="185"/>
        <v>21344000</v>
      </c>
      <c r="AB718" s="68">
        <f t="shared" si="185"/>
        <v>482772000</v>
      </c>
      <c r="AC718" s="69">
        <f t="shared" si="185"/>
        <v>5991988654</v>
      </c>
      <c r="AD718" s="70">
        <f t="shared" si="185"/>
        <v>35309004.79999999</v>
      </c>
      <c r="AE718" s="63"/>
      <c r="AF718" s="72"/>
      <c r="AG718" s="63"/>
      <c r="AH718" s="23"/>
      <c r="AI718" s="60"/>
      <c r="AJ718" s="124"/>
      <c r="AK718" s="121"/>
      <c r="AL718" s="107"/>
      <c r="AM718" s="108"/>
      <c r="AN718" s="109"/>
      <c r="AO718" s="108"/>
      <c r="AP718" s="108"/>
      <c r="AQ718" s="108"/>
      <c r="AR718" s="108"/>
      <c r="AS718" s="108"/>
      <c r="AT718" s="108"/>
      <c r="AU718" s="108"/>
      <c r="AV718" s="108"/>
      <c r="AW718" s="108"/>
      <c r="AX718" s="108"/>
      <c r="AY718" s="108"/>
      <c r="AZ718" s="108"/>
      <c r="BA718" s="108"/>
      <c r="BB718" s="108"/>
      <c r="BC718" s="108"/>
      <c r="BD718" s="108"/>
      <c r="BE718" s="108"/>
      <c r="BF718" s="108"/>
      <c r="BG718" s="108"/>
      <c r="BH718" s="108"/>
      <c r="BI718" s="108"/>
      <c r="BJ718" s="108"/>
      <c r="BK718" s="108"/>
      <c r="BL718" s="108"/>
      <c r="BM718" s="108"/>
      <c r="BN718" s="108"/>
      <c r="BO718" s="108"/>
      <c r="BP718" s="108"/>
      <c r="BQ718" s="108"/>
      <c r="BR718" s="108"/>
      <c r="BS718" s="108"/>
      <c r="BT718" s="108"/>
      <c r="BU718" s="108"/>
      <c r="BV718" s="108"/>
      <c r="BW718" s="108"/>
      <c r="BX718" s="108"/>
      <c r="BY718" s="108"/>
      <c r="BZ718" s="108"/>
      <c r="CA718" s="108"/>
      <c r="CB718" s="108"/>
      <c r="CC718" s="108"/>
      <c r="CD718" s="108"/>
      <c r="CE718" s="108"/>
      <c r="CF718" s="108"/>
      <c r="CG718" s="108"/>
      <c r="CH718" s="108"/>
      <c r="CI718" s="108"/>
      <c r="CJ718" s="108"/>
      <c r="CK718" s="108"/>
      <c r="CL718" s="108"/>
      <c r="CM718" s="108"/>
      <c r="CN718" s="110"/>
      <c r="CO718" s="111"/>
      <c r="CP718" s="110"/>
      <c r="CQ718" s="111"/>
      <c r="CR718" s="110"/>
      <c r="CS718" s="111"/>
      <c r="CT718" s="112"/>
      <c r="CU718" s="113"/>
      <c r="CV718" s="114"/>
      <c r="CW718" s="115"/>
      <c r="CX718" s="116"/>
      <c r="CY718" s="117"/>
      <c r="CZ718" s="116"/>
      <c r="DA718" s="113"/>
      <c r="DB718" s="114"/>
      <c r="DC718" s="64"/>
      <c r="DD718" s="118"/>
    </row>
    <row r="719" spans="1:108" s="119" customFormat="1" ht="48" outlineLevel="2">
      <c r="A719" s="178">
        <v>40275</v>
      </c>
      <c r="B719" s="82" t="s">
        <v>952</v>
      </c>
      <c r="C719" s="82" t="s">
        <v>1146</v>
      </c>
      <c r="D719" s="165" t="s">
        <v>1262</v>
      </c>
      <c r="E719" s="167"/>
      <c r="F719" s="66">
        <v>1</v>
      </c>
      <c r="G719" s="66"/>
      <c r="H719" s="66">
        <v>140</v>
      </c>
      <c r="I719" s="66">
        <v>72</v>
      </c>
      <c r="J719" s="66"/>
      <c r="K719" s="66">
        <v>72</v>
      </c>
      <c r="L719" s="66"/>
      <c r="M719" s="66"/>
      <c r="N719" s="66"/>
      <c r="O719" s="66"/>
      <c r="P719" s="66"/>
      <c r="Q719" s="66"/>
      <c r="R719" s="66"/>
      <c r="S719" s="66"/>
      <c r="T719" s="67"/>
      <c r="U719" s="151"/>
      <c r="V719" s="1"/>
      <c r="W719" s="68">
        <f t="shared" ref="W719:W750" si="186">CT719</f>
        <v>0</v>
      </c>
      <c r="X719" s="68">
        <f t="shared" ref="X719:X750" si="187">CX719</f>
        <v>0</v>
      </c>
      <c r="Y719" s="68">
        <f t="shared" ref="Y719:Y750" si="188">CZ719+DB719</f>
        <v>0</v>
      </c>
      <c r="Z719" s="68">
        <f t="shared" ref="Z719:Z750" si="189">CV719</f>
        <v>0</v>
      </c>
      <c r="AA719" s="68"/>
      <c r="AB719" s="68">
        <v>0</v>
      </c>
      <c r="AC719" s="69">
        <f t="shared" ref="AC719:AC750" si="190">W719+X719+Y719+Z719+AA719+AB719</f>
        <v>0</v>
      </c>
      <c r="AD719" s="70">
        <v>0</v>
      </c>
      <c r="AE719" s="63">
        <v>40277</v>
      </c>
      <c r="AF719" s="72"/>
      <c r="AG719" s="63" t="s">
        <v>938</v>
      </c>
      <c r="AH719" s="23" t="s">
        <v>939</v>
      </c>
      <c r="AI719" s="60"/>
      <c r="AJ719" s="133" t="s">
        <v>1608</v>
      </c>
      <c r="AK719" s="73" t="s">
        <v>1147</v>
      </c>
      <c r="AL719" s="3"/>
      <c r="AM719" s="4"/>
      <c r="AN719" s="5"/>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6"/>
      <c r="CO719" s="7"/>
      <c r="CP719" s="6"/>
      <c r="CQ719" s="7"/>
      <c r="CR719" s="6"/>
      <c r="CS719" s="7"/>
      <c r="CT719" s="8">
        <f t="shared" ref="CT719:CT750" si="191">AM719+AO719+AQ719+AS719+AU719+AW719+AY719+BA719+BC719+BE719+BG719+BI719+BK719+BM719+BO719+BQ719+BS719+BU719+BW719+BY719+CA719+CC719+CE719+CG719+CI719+CK719+CM719+CO719+CQ719+CS719</f>
        <v>0</v>
      </c>
      <c r="CU719" s="9"/>
      <c r="CV719" s="10"/>
      <c r="CW719" s="11"/>
      <c r="CX719" s="12"/>
      <c r="CY719" s="26"/>
      <c r="CZ719" s="12"/>
      <c r="DA719" s="9"/>
      <c r="DB719" s="10"/>
      <c r="DC719" s="64"/>
      <c r="DD719" s="22"/>
    </row>
    <row r="720" spans="1:108" s="119" customFormat="1" ht="36" outlineLevel="2">
      <c r="A720" s="178">
        <v>40275</v>
      </c>
      <c r="B720" s="82" t="s">
        <v>952</v>
      </c>
      <c r="C720" s="82" t="s">
        <v>269</v>
      </c>
      <c r="D720" s="165" t="s">
        <v>1262</v>
      </c>
      <c r="E720" s="167"/>
      <c r="F720" s="66"/>
      <c r="G720" s="66"/>
      <c r="H720" s="66">
        <v>34</v>
      </c>
      <c r="I720" s="66">
        <v>8</v>
      </c>
      <c r="J720" s="66"/>
      <c r="K720" s="66">
        <v>8</v>
      </c>
      <c r="L720" s="66">
        <v>1</v>
      </c>
      <c r="M720" s="66"/>
      <c r="N720" s="66"/>
      <c r="O720" s="66"/>
      <c r="P720" s="66"/>
      <c r="Q720" s="66"/>
      <c r="R720" s="66">
        <v>1</v>
      </c>
      <c r="S720" s="66"/>
      <c r="T720" s="67"/>
      <c r="U720" s="151"/>
      <c r="V720" s="1"/>
      <c r="W720" s="68">
        <f t="shared" si="186"/>
        <v>0</v>
      </c>
      <c r="X720" s="68">
        <f t="shared" si="187"/>
        <v>0</v>
      </c>
      <c r="Y720" s="68">
        <f t="shared" si="188"/>
        <v>0</v>
      </c>
      <c r="Z720" s="68">
        <f t="shared" si="189"/>
        <v>0</v>
      </c>
      <c r="AA720" s="68"/>
      <c r="AB720" s="68">
        <v>0</v>
      </c>
      <c r="AC720" s="69">
        <f t="shared" si="190"/>
        <v>0</v>
      </c>
      <c r="AD720" s="70">
        <v>0</v>
      </c>
      <c r="AE720" s="63">
        <v>40282</v>
      </c>
      <c r="AF720" s="72"/>
      <c r="AG720" s="63" t="s">
        <v>938</v>
      </c>
      <c r="AH720" s="23" t="s">
        <v>939</v>
      </c>
      <c r="AI720" s="60"/>
      <c r="AJ720" s="133" t="s">
        <v>1608</v>
      </c>
      <c r="AK720" s="73" t="s">
        <v>864</v>
      </c>
      <c r="AL720" s="3"/>
      <c r="AM720" s="4"/>
      <c r="AN720" s="5"/>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6"/>
      <c r="CO720" s="7"/>
      <c r="CP720" s="6"/>
      <c r="CQ720" s="7"/>
      <c r="CR720" s="6"/>
      <c r="CS720" s="7"/>
      <c r="CT720" s="8">
        <f t="shared" si="191"/>
        <v>0</v>
      </c>
      <c r="CU720" s="9"/>
      <c r="CV720" s="10"/>
      <c r="CW720" s="11"/>
      <c r="CX720" s="12"/>
      <c r="CY720" s="26"/>
      <c r="CZ720" s="12"/>
      <c r="DA720" s="9"/>
      <c r="DB720" s="10"/>
      <c r="DC720" s="64"/>
      <c r="DD720" s="22"/>
    </row>
    <row r="721" spans="1:108" s="119" customFormat="1" outlineLevel="2">
      <c r="A721" s="178">
        <v>40275</v>
      </c>
      <c r="B721" s="82" t="s">
        <v>952</v>
      </c>
      <c r="C721" s="82" t="s">
        <v>1681</v>
      </c>
      <c r="D721" s="165" t="s">
        <v>1262</v>
      </c>
      <c r="E721" s="167"/>
      <c r="F721" s="66"/>
      <c r="G721" s="66"/>
      <c r="H721" s="66">
        <v>6</v>
      </c>
      <c r="I721" s="66">
        <v>2</v>
      </c>
      <c r="J721" s="66"/>
      <c r="K721" s="66">
        <v>2</v>
      </c>
      <c r="L721" s="66"/>
      <c r="M721" s="66"/>
      <c r="N721" s="66"/>
      <c r="O721" s="66"/>
      <c r="P721" s="66"/>
      <c r="Q721" s="66"/>
      <c r="R721" s="66"/>
      <c r="S721" s="66"/>
      <c r="T721" s="67"/>
      <c r="U721" s="151"/>
      <c r="V721" s="1"/>
      <c r="W721" s="68">
        <f t="shared" si="186"/>
        <v>0</v>
      </c>
      <c r="X721" s="68">
        <f t="shared" si="187"/>
        <v>0</v>
      </c>
      <c r="Y721" s="68">
        <f t="shared" si="188"/>
        <v>0</v>
      </c>
      <c r="Z721" s="68">
        <f t="shared" si="189"/>
        <v>0</v>
      </c>
      <c r="AA721" s="68"/>
      <c r="AB721" s="68">
        <v>0</v>
      </c>
      <c r="AC721" s="69">
        <f t="shared" si="190"/>
        <v>0</v>
      </c>
      <c r="AD721" s="70">
        <v>0</v>
      </c>
      <c r="AE721" s="63">
        <v>40282</v>
      </c>
      <c r="AF721" s="72"/>
      <c r="AG721" s="63" t="s">
        <v>938</v>
      </c>
      <c r="AH721" s="23" t="s">
        <v>939</v>
      </c>
      <c r="AI721" s="60"/>
      <c r="AJ721" s="133" t="s">
        <v>1608</v>
      </c>
      <c r="AK721" s="73" t="s">
        <v>1682</v>
      </c>
      <c r="AL721" s="3"/>
      <c r="AM721" s="4"/>
      <c r="AN721" s="5"/>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6"/>
      <c r="CO721" s="7"/>
      <c r="CP721" s="6"/>
      <c r="CQ721" s="7"/>
      <c r="CR721" s="6"/>
      <c r="CS721" s="7"/>
      <c r="CT721" s="8">
        <f t="shared" si="191"/>
        <v>0</v>
      </c>
      <c r="CU721" s="9"/>
      <c r="CV721" s="10"/>
      <c r="CW721" s="11"/>
      <c r="CX721" s="12"/>
      <c r="CY721" s="26"/>
      <c r="CZ721" s="12"/>
      <c r="DA721" s="9"/>
      <c r="DB721" s="10"/>
      <c r="DC721" s="64"/>
      <c r="DD721" s="22"/>
    </row>
    <row r="722" spans="1:108" s="119" customFormat="1" ht="24" outlineLevel="2">
      <c r="A722" s="178">
        <v>40278</v>
      </c>
      <c r="B722" s="82" t="s">
        <v>952</v>
      </c>
      <c r="C722" s="82" t="s">
        <v>1663</v>
      </c>
      <c r="D722" s="165" t="s">
        <v>1262</v>
      </c>
      <c r="E722" s="167"/>
      <c r="F722" s="66"/>
      <c r="G722" s="66"/>
      <c r="H722" s="66">
        <v>5</v>
      </c>
      <c r="I722" s="66">
        <v>1</v>
      </c>
      <c r="J722" s="66"/>
      <c r="K722" s="66">
        <v>1</v>
      </c>
      <c r="L722" s="66"/>
      <c r="M722" s="66"/>
      <c r="N722" s="66"/>
      <c r="O722" s="66"/>
      <c r="P722" s="66"/>
      <c r="Q722" s="66"/>
      <c r="R722" s="66"/>
      <c r="S722" s="66"/>
      <c r="T722" s="67"/>
      <c r="U722" s="151"/>
      <c r="V722" s="1"/>
      <c r="W722" s="68">
        <f t="shared" si="186"/>
        <v>0</v>
      </c>
      <c r="X722" s="68">
        <f t="shared" si="187"/>
        <v>0</v>
      </c>
      <c r="Y722" s="68">
        <f t="shared" si="188"/>
        <v>0</v>
      </c>
      <c r="Z722" s="68">
        <f t="shared" si="189"/>
        <v>0</v>
      </c>
      <c r="AA722" s="68"/>
      <c r="AB722" s="68">
        <v>0</v>
      </c>
      <c r="AC722" s="69">
        <f t="shared" si="190"/>
        <v>0</v>
      </c>
      <c r="AD722" s="70">
        <v>0</v>
      </c>
      <c r="AE722" s="63">
        <v>40280</v>
      </c>
      <c r="AF722" s="72"/>
      <c r="AG722" s="63" t="s">
        <v>938</v>
      </c>
      <c r="AH722" s="23" t="s">
        <v>939</v>
      </c>
      <c r="AI722" s="60"/>
      <c r="AJ722" s="133" t="s">
        <v>1608</v>
      </c>
      <c r="AK722" s="73" t="s">
        <v>526</v>
      </c>
      <c r="AL722" s="3"/>
      <c r="AM722" s="4"/>
      <c r="AN722" s="5"/>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6"/>
      <c r="CO722" s="7"/>
      <c r="CP722" s="6"/>
      <c r="CQ722" s="7"/>
      <c r="CR722" s="6"/>
      <c r="CS722" s="7"/>
      <c r="CT722" s="8">
        <f t="shared" si="191"/>
        <v>0</v>
      </c>
      <c r="CU722" s="9"/>
      <c r="CV722" s="10"/>
      <c r="CW722" s="11"/>
      <c r="CX722" s="12"/>
      <c r="CY722" s="26"/>
      <c r="CZ722" s="12"/>
      <c r="DA722" s="9"/>
      <c r="DB722" s="10"/>
      <c r="DC722" s="64"/>
      <c r="DD722" s="22"/>
    </row>
    <row r="723" spans="1:108" s="119" customFormat="1" ht="36" outlineLevel="2">
      <c r="A723" s="178">
        <v>40279</v>
      </c>
      <c r="B723" s="82" t="s">
        <v>952</v>
      </c>
      <c r="C723" s="82" t="s">
        <v>1222</v>
      </c>
      <c r="D723" s="165" t="s">
        <v>1262</v>
      </c>
      <c r="E723" s="167"/>
      <c r="F723" s="66"/>
      <c r="G723" s="66"/>
      <c r="H723" s="66">
        <v>10</v>
      </c>
      <c r="I723" s="66">
        <v>2</v>
      </c>
      <c r="J723" s="66"/>
      <c r="K723" s="66">
        <v>2</v>
      </c>
      <c r="L723" s="66"/>
      <c r="M723" s="66"/>
      <c r="N723" s="66"/>
      <c r="O723" s="66"/>
      <c r="P723" s="66"/>
      <c r="Q723" s="66"/>
      <c r="R723" s="66"/>
      <c r="S723" s="66"/>
      <c r="T723" s="67"/>
      <c r="U723" s="151"/>
      <c r="V723" s="1"/>
      <c r="W723" s="68">
        <f t="shared" si="186"/>
        <v>0</v>
      </c>
      <c r="X723" s="68">
        <f t="shared" si="187"/>
        <v>0</v>
      </c>
      <c r="Y723" s="68">
        <f t="shared" si="188"/>
        <v>0</v>
      </c>
      <c r="Z723" s="68">
        <f t="shared" si="189"/>
        <v>0</v>
      </c>
      <c r="AA723" s="68"/>
      <c r="AB723" s="68">
        <v>0</v>
      </c>
      <c r="AC723" s="69">
        <f t="shared" si="190"/>
        <v>0</v>
      </c>
      <c r="AD723" s="70">
        <v>0</v>
      </c>
      <c r="AE723" s="63">
        <v>40282</v>
      </c>
      <c r="AF723" s="72"/>
      <c r="AG723" s="63" t="s">
        <v>938</v>
      </c>
      <c r="AH723" s="23" t="s">
        <v>939</v>
      </c>
      <c r="AI723" s="60"/>
      <c r="AJ723" s="133" t="s">
        <v>1608</v>
      </c>
      <c r="AK723" s="73" t="s">
        <v>867</v>
      </c>
      <c r="AL723" s="3"/>
      <c r="AM723" s="4"/>
      <c r="AN723" s="5"/>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6"/>
      <c r="CO723" s="7"/>
      <c r="CP723" s="6"/>
      <c r="CQ723" s="7"/>
      <c r="CR723" s="6"/>
      <c r="CS723" s="7"/>
      <c r="CT723" s="8">
        <f t="shared" si="191"/>
        <v>0</v>
      </c>
      <c r="CU723" s="9"/>
      <c r="CV723" s="10"/>
      <c r="CW723" s="11"/>
      <c r="CX723" s="12"/>
      <c r="CY723" s="26"/>
      <c r="CZ723" s="12"/>
      <c r="DA723" s="9"/>
      <c r="DB723" s="10"/>
      <c r="DC723" s="64"/>
      <c r="DD723" s="22"/>
    </row>
    <row r="724" spans="1:108" s="119" customFormat="1" ht="24" outlineLevel="2">
      <c r="A724" s="178">
        <v>40280</v>
      </c>
      <c r="B724" s="82" t="s">
        <v>952</v>
      </c>
      <c r="C724" s="82" t="s">
        <v>865</v>
      </c>
      <c r="D724" s="165" t="s">
        <v>1262</v>
      </c>
      <c r="E724" s="167"/>
      <c r="F724" s="66"/>
      <c r="G724" s="66"/>
      <c r="H724" s="66"/>
      <c r="I724" s="66"/>
      <c r="J724" s="66"/>
      <c r="K724" s="66"/>
      <c r="L724" s="66">
        <v>1</v>
      </c>
      <c r="M724" s="66"/>
      <c r="N724" s="66"/>
      <c r="O724" s="66"/>
      <c r="P724" s="66"/>
      <c r="Q724" s="66"/>
      <c r="R724" s="66">
        <v>1</v>
      </c>
      <c r="S724" s="66"/>
      <c r="T724" s="67"/>
      <c r="U724" s="151"/>
      <c r="V724" s="1"/>
      <c r="W724" s="68">
        <f t="shared" si="186"/>
        <v>0</v>
      </c>
      <c r="X724" s="68">
        <f t="shared" si="187"/>
        <v>0</v>
      </c>
      <c r="Y724" s="68">
        <f t="shared" si="188"/>
        <v>0</v>
      </c>
      <c r="Z724" s="68">
        <f t="shared" si="189"/>
        <v>0</v>
      </c>
      <c r="AA724" s="68"/>
      <c r="AB724" s="68">
        <v>0</v>
      </c>
      <c r="AC724" s="69">
        <f t="shared" si="190"/>
        <v>0</v>
      </c>
      <c r="AD724" s="70">
        <v>0</v>
      </c>
      <c r="AE724" s="63">
        <v>40282</v>
      </c>
      <c r="AF724" s="72"/>
      <c r="AG724" s="63" t="s">
        <v>938</v>
      </c>
      <c r="AH724" s="23" t="s">
        <v>939</v>
      </c>
      <c r="AI724" s="60"/>
      <c r="AJ724" s="133" t="s">
        <v>1608</v>
      </c>
      <c r="AK724" s="73" t="s">
        <v>866</v>
      </c>
      <c r="AL724" s="3"/>
      <c r="AM724" s="4"/>
      <c r="AN724" s="5"/>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6"/>
      <c r="CO724" s="7"/>
      <c r="CP724" s="6"/>
      <c r="CQ724" s="7"/>
      <c r="CR724" s="6"/>
      <c r="CS724" s="7"/>
      <c r="CT724" s="8">
        <f t="shared" si="191"/>
        <v>0</v>
      </c>
      <c r="CU724" s="9"/>
      <c r="CV724" s="10"/>
      <c r="CW724" s="11"/>
      <c r="CX724" s="12"/>
      <c r="CY724" s="26"/>
      <c r="CZ724" s="12"/>
      <c r="DA724" s="9"/>
      <c r="DB724" s="10"/>
      <c r="DC724" s="64"/>
      <c r="DD724" s="22"/>
    </row>
    <row r="725" spans="1:108" s="119" customFormat="1" ht="24" outlineLevel="2">
      <c r="A725" s="178">
        <v>40281</v>
      </c>
      <c r="B725" s="82" t="s">
        <v>952</v>
      </c>
      <c r="C725" s="82" t="s">
        <v>1683</v>
      </c>
      <c r="D725" s="165" t="s">
        <v>1182</v>
      </c>
      <c r="E725" s="167"/>
      <c r="F725" s="66"/>
      <c r="G725" s="66"/>
      <c r="H725" s="66"/>
      <c r="I725" s="66"/>
      <c r="J725" s="66"/>
      <c r="K725" s="66"/>
      <c r="L725" s="66">
        <v>1</v>
      </c>
      <c r="M725" s="66"/>
      <c r="N725" s="66"/>
      <c r="O725" s="66"/>
      <c r="P725" s="66"/>
      <c r="Q725" s="66"/>
      <c r="R725" s="66"/>
      <c r="S725" s="66"/>
      <c r="T725" s="67"/>
      <c r="U725" s="151"/>
      <c r="V725" s="1"/>
      <c r="W725" s="68">
        <f t="shared" si="186"/>
        <v>0</v>
      </c>
      <c r="X725" s="68">
        <f t="shared" si="187"/>
        <v>0</v>
      </c>
      <c r="Y725" s="68">
        <f t="shared" si="188"/>
        <v>0</v>
      </c>
      <c r="Z725" s="68">
        <f t="shared" si="189"/>
        <v>0</v>
      </c>
      <c r="AA725" s="68"/>
      <c r="AB725" s="68">
        <v>0</v>
      </c>
      <c r="AC725" s="69">
        <f t="shared" si="190"/>
        <v>0</v>
      </c>
      <c r="AD725" s="70">
        <v>0</v>
      </c>
      <c r="AE725" s="63">
        <v>40282</v>
      </c>
      <c r="AF725" s="72"/>
      <c r="AG725" s="63" t="s">
        <v>938</v>
      </c>
      <c r="AH725" s="23" t="s">
        <v>939</v>
      </c>
      <c r="AI725" s="60"/>
      <c r="AJ725" s="133" t="s">
        <v>1608</v>
      </c>
      <c r="AK725" s="73" t="s">
        <v>258</v>
      </c>
      <c r="AL725" s="3"/>
      <c r="AM725" s="4"/>
      <c r="AN725" s="5"/>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6"/>
      <c r="CO725" s="7"/>
      <c r="CP725" s="6"/>
      <c r="CQ725" s="7"/>
      <c r="CR725" s="6"/>
      <c r="CS725" s="7"/>
      <c r="CT725" s="8">
        <f t="shared" si="191"/>
        <v>0</v>
      </c>
      <c r="CU725" s="9"/>
      <c r="CV725" s="10"/>
      <c r="CW725" s="11"/>
      <c r="CX725" s="12"/>
      <c r="CY725" s="26"/>
      <c r="CZ725" s="12"/>
      <c r="DA725" s="9"/>
      <c r="DB725" s="10"/>
      <c r="DC725" s="64"/>
      <c r="DD725" s="22"/>
    </row>
    <row r="726" spans="1:108" s="119" customFormat="1" outlineLevel="2">
      <c r="A726" s="178">
        <v>40281</v>
      </c>
      <c r="B726" s="82" t="s">
        <v>952</v>
      </c>
      <c r="C726" s="82" t="s">
        <v>1222</v>
      </c>
      <c r="D726" s="165" t="s">
        <v>1262</v>
      </c>
      <c r="E726" s="167"/>
      <c r="F726" s="66"/>
      <c r="G726" s="66"/>
      <c r="H726" s="66">
        <v>5</v>
      </c>
      <c r="I726" s="66">
        <v>1</v>
      </c>
      <c r="J726" s="66"/>
      <c r="K726" s="66">
        <v>1</v>
      </c>
      <c r="L726" s="66"/>
      <c r="M726" s="66"/>
      <c r="N726" s="66"/>
      <c r="O726" s="66"/>
      <c r="P726" s="66"/>
      <c r="Q726" s="66"/>
      <c r="R726" s="66"/>
      <c r="S726" s="66"/>
      <c r="T726" s="67"/>
      <c r="U726" s="151"/>
      <c r="V726" s="1"/>
      <c r="W726" s="68">
        <f t="shared" si="186"/>
        <v>0</v>
      </c>
      <c r="X726" s="68">
        <f t="shared" si="187"/>
        <v>0</v>
      </c>
      <c r="Y726" s="68">
        <f t="shared" si="188"/>
        <v>0</v>
      </c>
      <c r="Z726" s="68">
        <f t="shared" si="189"/>
        <v>0</v>
      </c>
      <c r="AA726" s="68"/>
      <c r="AB726" s="68">
        <v>0</v>
      </c>
      <c r="AC726" s="69">
        <f t="shared" si="190"/>
        <v>0</v>
      </c>
      <c r="AD726" s="70">
        <v>0</v>
      </c>
      <c r="AE726" s="63">
        <v>40282</v>
      </c>
      <c r="AF726" s="72"/>
      <c r="AG726" s="63" t="s">
        <v>938</v>
      </c>
      <c r="AH726" s="23" t="s">
        <v>939</v>
      </c>
      <c r="AI726" s="60"/>
      <c r="AJ726" s="133" t="s">
        <v>1608</v>
      </c>
      <c r="AK726" s="73" t="s">
        <v>1077</v>
      </c>
      <c r="AL726" s="3"/>
      <c r="AM726" s="4"/>
      <c r="AN726" s="5"/>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6"/>
      <c r="CO726" s="7"/>
      <c r="CP726" s="6"/>
      <c r="CQ726" s="7"/>
      <c r="CR726" s="6"/>
      <c r="CS726" s="7"/>
      <c r="CT726" s="8">
        <f t="shared" si="191"/>
        <v>0</v>
      </c>
      <c r="CU726" s="9"/>
      <c r="CV726" s="10"/>
      <c r="CW726" s="11"/>
      <c r="CX726" s="12"/>
      <c r="CY726" s="26"/>
      <c r="CZ726" s="12"/>
      <c r="DA726" s="9"/>
      <c r="DB726" s="10"/>
      <c r="DC726" s="64"/>
      <c r="DD726" s="22"/>
    </row>
    <row r="727" spans="1:108" s="119" customFormat="1" ht="24" outlineLevel="2">
      <c r="A727" s="178">
        <v>40281</v>
      </c>
      <c r="B727" s="82" t="s">
        <v>952</v>
      </c>
      <c r="C727" s="82" t="s">
        <v>1562</v>
      </c>
      <c r="D727" s="165" t="s">
        <v>1262</v>
      </c>
      <c r="E727" s="167"/>
      <c r="F727" s="66"/>
      <c r="G727" s="66"/>
      <c r="H727" s="66">
        <f>38+75</f>
        <v>113</v>
      </c>
      <c r="I727" s="66">
        <f>19+22</f>
        <v>41</v>
      </c>
      <c r="J727" s="66"/>
      <c r="K727" s="66">
        <v>41</v>
      </c>
      <c r="L727" s="66"/>
      <c r="M727" s="66"/>
      <c r="N727" s="66"/>
      <c r="O727" s="66"/>
      <c r="P727" s="66"/>
      <c r="Q727" s="66"/>
      <c r="R727" s="66"/>
      <c r="S727" s="66"/>
      <c r="T727" s="67"/>
      <c r="U727" s="151"/>
      <c r="V727" s="1"/>
      <c r="W727" s="68">
        <f t="shared" si="186"/>
        <v>0</v>
      </c>
      <c r="X727" s="68">
        <f t="shared" si="187"/>
        <v>0</v>
      </c>
      <c r="Y727" s="68">
        <f t="shared" si="188"/>
        <v>0</v>
      </c>
      <c r="Z727" s="68">
        <f t="shared" si="189"/>
        <v>0</v>
      </c>
      <c r="AA727" s="68"/>
      <c r="AB727" s="68">
        <v>0</v>
      </c>
      <c r="AC727" s="69">
        <f t="shared" si="190"/>
        <v>0</v>
      </c>
      <c r="AD727" s="70">
        <v>0</v>
      </c>
      <c r="AE727" s="63">
        <v>40282</v>
      </c>
      <c r="AF727" s="72"/>
      <c r="AG727" s="63" t="s">
        <v>938</v>
      </c>
      <c r="AH727" s="23" t="s">
        <v>939</v>
      </c>
      <c r="AI727" s="60"/>
      <c r="AJ727" s="133" t="s">
        <v>1608</v>
      </c>
      <c r="AK727" s="73" t="s">
        <v>1240</v>
      </c>
      <c r="AL727" s="3"/>
      <c r="AM727" s="4"/>
      <c r="AN727" s="5"/>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6"/>
      <c r="CO727" s="7"/>
      <c r="CP727" s="6"/>
      <c r="CQ727" s="7"/>
      <c r="CR727" s="6"/>
      <c r="CS727" s="7"/>
      <c r="CT727" s="8">
        <f t="shared" si="191"/>
        <v>0</v>
      </c>
      <c r="CU727" s="9"/>
      <c r="CV727" s="10"/>
      <c r="CW727" s="11"/>
      <c r="CX727" s="12"/>
      <c r="CY727" s="26"/>
      <c r="CZ727" s="12"/>
      <c r="DA727" s="9"/>
      <c r="DB727" s="10"/>
      <c r="DC727" s="64"/>
      <c r="DD727" s="22"/>
    </row>
    <row r="728" spans="1:108" s="119" customFormat="1" ht="24" outlineLevel="2">
      <c r="A728" s="178">
        <v>40282</v>
      </c>
      <c r="B728" s="82" t="s">
        <v>952</v>
      </c>
      <c r="C728" s="82" t="s">
        <v>1271</v>
      </c>
      <c r="D728" s="165" t="s">
        <v>1262</v>
      </c>
      <c r="E728" s="167"/>
      <c r="F728" s="66"/>
      <c r="G728" s="66"/>
      <c r="H728" s="66">
        <v>10</v>
      </c>
      <c r="I728" s="66">
        <v>2</v>
      </c>
      <c r="J728" s="66">
        <v>2</v>
      </c>
      <c r="K728" s="66"/>
      <c r="L728" s="66"/>
      <c r="M728" s="66"/>
      <c r="N728" s="66"/>
      <c r="O728" s="66"/>
      <c r="P728" s="66"/>
      <c r="Q728" s="66"/>
      <c r="R728" s="66"/>
      <c r="S728" s="66"/>
      <c r="T728" s="67"/>
      <c r="U728" s="151"/>
      <c r="V728" s="1"/>
      <c r="W728" s="68">
        <f t="shared" si="186"/>
        <v>0</v>
      </c>
      <c r="X728" s="68">
        <f t="shared" si="187"/>
        <v>0</v>
      </c>
      <c r="Y728" s="68">
        <f t="shared" si="188"/>
        <v>0</v>
      </c>
      <c r="Z728" s="68">
        <f t="shared" si="189"/>
        <v>0</v>
      </c>
      <c r="AA728" s="68"/>
      <c r="AB728" s="68">
        <v>0</v>
      </c>
      <c r="AC728" s="69">
        <f t="shared" si="190"/>
        <v>0</v>
      </c>
      <c r="AD728" s="70">
        <v>0</v>
      </c>
      <c r="AE728" s="63">
        <v>40283</v>
      </c>
      <c r="AF728" s="72"/>
      <c r="AG728" s="63" t="s">
        <v>938</v>
      </c>
      <c r="AH728" s="23" t="s">
        <v>939</v>
      </c>
      <c r="AI728" s="60"/>
      <c r="AJ728" s="133" t="s">
        <v>1608</v>
      </c>
      <c r="AK728" s="73" t="s">
        <v>1272</v>
      </c>
      <c r="AL728" s="3"/>
      <c r="AM728" s="4"/>
      <c r="AN728" s="5"/>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6"/>
      <c r="CO728" s="7"/>
      <c r="CP728" s="6"/>
      <c r="CQ728" s="7"/>
      <c r="CR728" s="6"/>
      <c r="CS728" s="7"/>
      <c r="CT728" s="8">
        <f t="shared" si="191"/>
        <v>0</v>
      </c>
      <c r="CU728" s="9"/>
      <c r="CV728" s="10"/>
      <c r="CW728" s="11"/>
      <c r="CX728" s="12"/>
      <c r="CY728" s="26"/>
      <c r="CZ728" s="12"/>
      <c r="DA728" s="9"/>
      <c r="DB728" s="10"/>
      <c r="DC728" s="64"/>
      <c r="DD728" s="22"/>
    </row>
    <row r="729" spans="1:108" s="119" customFormat="1" outlineLevel="2">
      <c r="A729" s="178">
        <v>40282</v>
      </c>
      <c r="B729" s="82" t="s">
        <v>952</v>
      </c>
      <c r="C729" s="82" t="s">
        <v>1273</v>
      </c>
      <c r="D729" s="165" t="s">
        <v>1182</v>
      </c>
      <c r="E729" s="167"/>
      <c r="F729" s="66"/>
      <c r="G729" s="66"/>
      <c r="H729" s="66"/>
      <c r="I729" s="66"/>
      <c r="J729" s="66"/>
      <c r="K729" s="66"/>
      <c r="L729" s="66">
        <v>1</v>
      </c>
      <c r="M729" s="66"/>
      <c r="N729" s="66"/>
      <c r="O729" s="66"/>
      <c r="P729" s="66"/>
      <c r="Q729" s="66"/>
      <c r="R729" s="66"/>
      <c r="S729" s="66"/>
      <c r="T729" s="67"/>
      <c r="U729" s="151"/>
      <c r="V729" s="1"/>
      <c r="W729" s="68">
        <f t="shared" si="186"/>
        <v>0</v>
      </c>
      <c r="X729" s="68">
        <f t="shared" si="187"/>
        <v>0</v>
      </c>
      <c r="Y729" s="68">
        <f t="shared" si="188"/>
        <v>0</v>
      </c>
      <c r="Z729" s="68">
        <f t="shared" si="189"/>
        <v>0</v>
      </c>
      <c r="AA729" s="68"/>
      <c r="AB729" s="68">
        <v>0</v>
      </c>
      <c r="AC729" s="69">
        <f t="shared" si="190"/>
        <v>0</v>
      </c>
      <c r="AD729" s="70">
        <v>0</v>
      </c>
      <c r="AE729" s="63">
        <v>40283</v>
      </c>
      <c r="AF729" s="72"/>
      <c r="AG729" s="63" t="s">
        <v>938</v>
      </c>
      <c r="AH729" s="23" t="s">
        <v>939</v>
      </c>
      <c r="AI729" s="60"/>
      <c r="AJ729" s="133" t="s">
        <v>1608</v>
      </c>
      <c r="AK729" s="73" t="s">
        <v>1274</v>
      </c>
      <c r="AL729" s="3"/>
      <c r="AM729" s="4"/>
      <c r="AN729" s="5"/>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6"/>
      <c r="CO729" s="7"/>
      <c r="CP729" s="6"/>
      <c r="CQ729" s="7"/>
      <c r="CR729" s="6"/>
      <c r="CS729" s="7"/>
      <c r="CT729" s="8">
        <f t="shared" si="191"/>
        <v>0</v>
      </c>
      <c r="CU729" s="9"/>
      <c r="CV729" s="10"/>
      <c r="CW729" s="11"/>
      <c r="CX729" s="12"/>
      <c r="CY729" s="26"/>
      <c r="CZ729" s="12"/>
      <c r="DA729" s="9"/>
      <c r="DB729" s="10"/>
      <c r="DC729" s="64"/>
      <c r="DD729" s="22"/>
    </row>
    <row r="730" spans="1:108" s="119" customFormat="1" ht="36" outlineLevel="2">
      <c r="A730" s="178">
        <v>40282</v>
      </c>
      <c r="B730" s="82" t="s">
        <v>952</v>
      </c>
      <c r="C730" s="82" t="s">
        <v>1146</v>
      </c>
      <c r="D730" s="165" t="s">
        <v>1182</v>
      </c>
      <c r="E730" s="167">
        <v>2</v>
      </c>
      <c r="F730" s="66"/>
      <c r="G730" s="66"/>
      <c r="H730" s="66"/>
      <c r="I730" s="66"/>
      <c r="J730" s="66"/>
      <c r="K730" s="66"/>
      <c r="L730" s="66"/>
      <c r="M730" s="66"/>
      <c r="N730" s="66"/>
      <c r="O730" s="66"/>
      <c r="P730" s="66"/>
      <c r="Q730" s="66"/>
      <c r="R730" s="66"/>
      <c r="S730" s="66"/>
      <c r="T730" s="67"/>
      <c r="U730" s="151"/>
      <c r="V730" s="1"/>
      <c r="W730" s="68">
        <f t="shared" si="186"/>
        <v>0</v>
      </c>
      <c r="X730" s="68">
        <f t="shared" si="187"/>
        <v>0</v>
      </c>
      <c r="Y730" s="68">
        <f t="shared" si="188"/>
        <v>0</v>
      </c>
      <c r="Z730" s="68">
        <f t="shared" si="189"/>
        <v>0</v>
      </c>
      <c r="AA730" s="68"/>
      <c r="AB730" s="68">
        <v>0</v>
      </c>
      <c r="AC730" s="69">
        <f t="shared" si="190"/>
        <v>0</v>
      </c>
      <c r="AD730" s="70">
        <v>0</v>
      </c>
      <c r="AE730" s="63">
        <v>40282</v>
      </c>
      <c r="AF730" s="72"/>
      <c r="AG730" s="63" t="s">
        <v>938</v>
      </c>
      <c r="AH730" s="23" t="s">
        <v>939</v>
      </c>
      <c r="AI730" s="60"/>
      <c r="AJ730" s="133" t="s">
        <v>1608</v>
      </c>
      <c r="AK730" s="73" t="s">
        <v>861</v>
      </c>
      <c r="AL730" s="3"/>
      <c r="AM730" s="4"/>
      <c r="AN730" s="5"/>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6"/>
      <c r="CO730" s="7"/>
      <c r="CP730" s="6"/>
      <c r="CQ730" s="7"/>
      <c r="CR730" s="6"/>
      <c r="CS730" s="7"/>
      <c r="CT730" s="8">
        <f t="shared" si="191"/>
        <v>0</v>
      </c>
      <c r="CU730" s="9"/>
      <c r="CV730" s="10"/>
      <c r="CW730" s="11"/>
      <c r="CX730" s="12"/>
      <c r="CY730" s="26"/>
      <c r="CZ730" s="12"/>
      <c r="DA730" s="9"/>
      <c r="DB730" s="10"/>
      <c r="DC730" s="64"/>
      <c r="DD730" s="22"/>
    </row>
    <row r="731" spans="1:108" s="119" customFormat="1" outlineLevel="2">
      <c r="A731" s="178">
        <v>40282</v>
      </c>
      <c r="B731" s="82" t="s">
        <v>952</v>
      </c>
      <c r="C731" s="82" t="s">
        <v>1146</v>
      </c>
      <c r="D731" s="165" t="s">
        <v>1182</v>
      </c>
      <c r="E731" s="167"/>
      <c r="F731" s="66"/>
      <c r="G731" s="66"/>
      <c r="H731" s="66"/>
      <c r="I731" s="66"/>
      <c r="J731" s="66"/>
      <c r="K731" s="66"/>
      <c r="L731" s="66">
        <v>1</v>
      </c>
      <c r="M731" s="66"/>
      <c r="N731" s="66"/>
      <c r="O731" s="66"/>
      <c r="P731" s="66"/>
      <c r="Q731" s="66"/>
      <c r="R731" s="66"/>
      <c r="S731" s="66"/>
      <c r="T731" s="67"/>
      <c r="U731" s="151"/>
      <c r="V731" s="1"/>
      <c r="W731" s="68">
        <f t="shared" si="186"/>
        <v>0</v>
      </c>
      <c r="X731" s="68">
        <f t="shared" si="187"/>
        <v>0</v>
      </c>
      <c r="Y731" s="68">
        <f t="shared" si="188"/>
        <v>0</v>
      </c>
      <c r="Z731" s="68">
        <f t="shared" si="189"/>
        <v>0</v>
      </c>
      <c r="AA731" s="68"/>
      <c r="AB731" s="68">
        <v>0</v>
      </c>
      <c r="AC731" s="69">
        <f t="shared" si="190"/>
        <v>0</v>
      </c>
      <c r="AD731" s="70">
        <v>0</v>
      </c>
      <c r="AE731" s="63">
        <v>40282</v>
      </c>
      <c r="AF731" s="72"/>
      <c r="AG731" s="63" t="s">
        <v>938</v>
      </c>
      <c r="AH731" s="23" t="s">
        <v>939</v>
      </c>
      <c r="AI731" s="60"/>
      <c r="AJ731" s="133" t="s">
        <v>1608</v>
      </c>
      <c r="AK731" s="73" t="s">
        <v>1078</v>
      </c>
      <c r="AL731" s="3"/>
      <c r="AM731" s="4"/>
      <c r="AN731" s="5"/>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6"/>
      <c r="CO731" s="7"/>
      <c r="CP731" s="6"/>
      <c r="CQ731" s="7"/>
      <c r="CR731" s="6"/>
      <c r="CS731" s="7"/>
      <c r="CT731" s="8">
        <f t="shared" si="191"/>
        <v>0</v>
      </c>
      <c r="CU731" s="9"/>
      <c r="CV731" s="10"/>
      <c r="CW731" s="11"/>
      <c r="CX731" s="12"/>
      <c r="CY731" s="26"/>
      <c r="CZ731" s="12"/>
      <c r="DA731" s="9"/>
      <c r="DB731" s="10"/>
      <c r="DC731" s="64"/>
      <c r="DD731" s="22"/>
    </row>
    <row r="732" spans="1:108" s="119" customFormat="1" outlineLevel="2">
      <c r="A732" s="178">
        <v>40282</v>
      </c>
      <c r="B732" s="82" t="s">
        <v>952</v>
      </c>
      <c r="C732" s="82" t="s">
        <v>1146</v>
      </c>
      <c r="D732" s="165" t="s">
        <v>1262</v>
      </c>
      <c r="E732" s="167"/>
      <c r="F732" s="66">
        <v>1</v>
      </c>
      <c r="G732" s="66"/>
      <c r="H732" s="66">
        <f>213+42+35</f>
        <v>290</v>
      </c>
      <c r="I732" s="66">
        <v>66</v>
      </c>
      <c r="J732" s="66"/>
      <c r="K732" s="66">
        <v>66</v>
      </c>
      <c r="L732" s="66"/>
      <c r="M732" s="66"/>
      <c r="N732" s="66"/>
      <c r="O732" s="66"/>
      <c r="P732" s="66"/>
      <c r="Q732" s="66"/>
      <c r="R732" s="66"/>
      <c r="S732" s="66"/>
      <c r="T732" s="67"/>
      <c r="U732" s="151"/>
      <c r="V732" s="1"/>
      <c r="W732" s="68">
        <f t="shared" si="186"/>
        <v>0</v>
      </c>
      <c r="X732" s="68">
        <f t="shared" si="187"/>
        <v>0</v>
      </c>
      <c r="Y732" s="68">
        <f t="shared" si="188"/>
        <v>0</v>
      </c>
      <c r="Z732" s="68">
        <f t="shared" si="189"/>
        <v>0</v>
      </c>
      <c r="AA732" s="68"/>
      <c r="AB732" s="68">
        <v>0</v>
      </c>
      <c r="AC732" s="69">
        <f t="shared" si="190"/>
        <v>0</v>
      </c>
      <c r="AD732" s="70">
        <v>0</v>
      </c>
      <c r="AE732" s="63">
        <v>40290</v>
      </c>
      <c r="AF732" s="72"/>
      <c r="AG732" s="63" t="s">
        <v>938</v>
      </c>
      <c r="AH732" s="23" t="s">
        <v>939</v>
      </c>
      <c r="AI732" s="60"/>
      <c r="AJ732" s="133" t="s">
        <v>1608</v>
      </c>
      <c r="AK732" s="73"/>
      <c r="AL732" s="3"/>
      <c r="AM732" s="4"/>
      <c r="AN732" s="5"/>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6"/>
      <c r="CO732" s="7"/>
      <c r="CP732" s="6"/>
      <c r="CQ732" s="7"/>
      <c r="CR732" s="6"/>
      <c r="CS732" s="7"/>
      <c r="CT732" s="8">
        <f t="shared" si="191"/>
        <v>0</v>
      </c>
      <c r="CU732" s="9"/>
      <c r="CV732" s="10"/>
      <c r="CW732" s="11"/>
      <c r="CX732" s="12"/>
      <c r="CY732" s="26"/>
      <c r="CZ732" s="12"/>
      <c r="DA732" s="9"/>
      <c r="DB732" s="10"/>
      <c r="DC732" s="64"/>
      <c r="DD732" s="22"/>
    </row>
    <row r="733" spans="1:108" s="119" customFormat="1" ht="48" outlineLevel="2">
      <c r="A733" s="178">
        <v>40282</v>
      </c>
      <c r="B733" s="82" t="s">
        <v>952</v>
      </c>
      <c r="C733" s="82" t="s">
        <v>1659</v>
      </c>
      <c r="D733" s="165" t="s">
        <v>1262</v>
      </c>
      <c r="E733" s="167"/>
      <c r="F733" s="66"/>
      <c r="G733" s="66"/>
      <c r="H733" s="66"/>
      <c r="I733" s="66"/>
      <c r="J733" s="66"/>
      <c r="K733" s="66"/>
      <c r="L733" s="66"/>
      <c r="M733" s="66"/>
      <c r="N733" s="66"/>
      <c r="O733" s="66"/>
      <c r="P733" s="66"/>
      <c r="Q733" s="66"/>
      <c r="R733" s="66"/>
      <c r="S733" s="66"/>
      <c r="T733" s="67"/>
      <c r="U733" s="151" t="s">
        <v>414</v>
      </c>
      <c r="V733" s="1"/>
      <c r="W733" s="68">
        <f t="shared" si="186"/>
        <v>0</v>
      </c>
      <c r="X733" s="68">
        <f t="shared" si="187"/>
        <v>0</v>
      </c>
      <c r="Y733" s="68">
        <f t="shared" si="188"/>
        <v>0</v>
      </c>
      <c r="Z733" s="68">
        <f t="shared" si="189"/>
        <v>0</v>
      </c>
      <c r="AA733" s="68"/>
      <c r="AB733" s="68">
        <v>0</v>
      </c>
      <c r="AC733" s="69">
        <f t="shared" si="190"/>
        <v>0</v>
      </c>
      <c r="AD733" s="70">
        <v>0</v>
      </c>
      <c r="AE733" s="63">
        <v>40283</v>
      </c>
      <c r="AF733" s="72"/>
      <c r="AG733" s="63" t="s">
        <v>938</v>
      </c>
      <c r="AH733" s="23" t="s">
        <v>939</v>
      </c>
      <c r="AI733" s="60"/>
      <c r="AJ733" s="133" t="s">
        <v>1608</v>
      </c>
      <c r="AK733" s="73" t="s">
        <v>265</v>
      </c>
      <c r="AL733" s="3"/>
      <c r="AM733" s="4"/>
      <c r="AN733" s="5"/>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6"/>
      <c r="CO733" s="7"/>
      <c r="CP733" s="6"/>
      <c r="CQ733" s="7"/>
      <c r="CR733" s="6"/>
      <c r="CS733" s="7"/>
      <c r="CT733" s="8">
        <f t="shared" si="191"/>
        <v>0</v>
      </c>
      <c r="CU733" s="9"/>
      <c r="CV733" s="10"/>
      <c r="CW733" s="11"/>
      <c r="CX733" s="12"/>
      <c r="CY733" s="26"/>
      <c r="CZ733" s="12"/>
      <c r="DA733" s="9"/>
      <c r="DB733" s="10"/>
      <c r="DC733" s="64"/>
      <c r="DD733" s="22"/>
    </row>
    <row r="734" spans="1:108" s="119" customFormat="1" ht="24" outlineLevel="2">
      <c r="A734" s="178">
        <v>40282</v>
      </c>
      <c r="B734" s="82" t="s">
        <v>952</v>
      </c>
      <c r="C734" s="82" t="s">
        <v>1562</v>
      </c>
      <c r="D734" s="165" t="s">
        <v>1262</v>
      </c>
      <c r="E734" s="167"/>
      <c r="F734" s="66">
        <v>6</v>
      </c>
      <c r="G734" s="66"/>
      <c r="H734" s="66">
        <v>24</v>
      </c>
      <c r="I734" s="66">
        <v>4</v>
      </c>
      <c r="J734" s="66">
        <v>3</v>
      </c>
      <c r="K734" s="66"/>
      <c r="L734" s="66"/>
      <c r="M734" s="66"/>
      <c r="N734" s="66"/>
      <c r="O734" s="66"/>
      <c r="P734" s="66"/>
      <c r="Q734" s="66"/>
      <c r="R734" s="66"/>
      <c r="S734" s="66"/>
      <c r="T734" s="67"/>
      <c r="U734" s="151"/>
      <c r="V734" s="1"/>
      <c r="W734" s="68">
        <f t="shared" si="186"/>
        <v>0</v>
      </c>
      <c r="X734" s="68">
        <f t="shared" si="187"/>
        <v>0</v>
      </c>
      <c r="Y734" s="68">
        <f t="shared" si="188"/>
        <v>0</v>
      </c>
      <c r="Z734" s="68">
        <f t="shared" si="189"/>
        <v>0</v>
      </c>
      <c r="AA734" s="68"/>
      <c r="AB734" s="68">
        <v>0</v>
      </c>
      <c r="AC734" s="69">
        <f t="shared" si="190"/>
        <v>0</v>
      </c>
      <c r="AD734" s="70">
        <v>0</v>
      </c>
      <c r="AE734" s="63">
        <v>40282</v>
      </c>
      <c r="AF734" s="72"/>
      <c r="AG734" s="63" t="s">
        <v>938</v>
      </c>
      <c r="AH734" s="23" t="s">
        <v>939</v>
      </c>
      <c r="AI734" s="60"/>
      <c r="AJ734" s="133" t="s">
        <v>1608</v>
      </c>
      <c r="AK734" s="73" t="s">
        <v>1239</v>
      </c>
      <c r="AL734" s="3"/>
      <c r="AM734" s="4"/>
      <c r="AN734" s="5"/>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6"/>
      <c r="CO734" s="7"/>
      <c r="CP734" s="6"/>
      <c r="CQ734" s="7"/>
      <c r="CR734" s="6"/>
      <c r="CS734" s="7"/>
      <c r="CT734" s="8">
        <f t="shared" si="191"/>
        <v>0</v>
      </c>
      <c r="CU734" s="9"/>
      <c r="CV734" s="10"/>
      <c r="CW734" s="11"/>
      <c r="CX734" s="12"/>
      <c r="CY734" s="26"/>
      <c r="CZ734" s="12"/>
      <c r="DA734" s="9"/>
      <c r="DB734" s="10"/>
      <c r="DC734" s="64"/>
      <c r="DD734" s="22"/>
    </row>
    <row r="735" spans="1:108" s="119" customFormat="1" ht="36" outlineLevel="2">
      <c r="A735" s="178">
        <v>40282</v>
      </c>
      <c r="B735" s="82" t="s">
        <v>952</v>
      </c>
      <c r="C735" s="82" t="s">
        <v>860</v>
      </c>
      <c r="D735" s="165" t="s">
        <v>1262</v>
      </c>
      <c r="E735" s="167"/>
      <c r="F735" s="66"/>
      <c r="G735" s="66"/>
      <c r="H735" s="66">
        <v>148</v>
      </c>
      <c r="I735" s="66">
        <v>28</v>
      </c>
      <c r="J735" s="66">
        <v>1</v>
      </c>
      <c r="K735" s="66">
        <v>27</v>
      </c>
      <c r="L735" s="66"/>
      <c r="M735" s="66"/>
      <c r="N735" s="66"/>
      <c r="O735" s="66"/>
      <c r="P735" s="66"/>
      <c r="Q735" s="66"/>
      <c r="R735" s="66"/>
      <c r="S735" s="66"/>
      <c r="T735" s="67"/>
      <c r="U735" s="151"/>
      <c r="V735" s="1"/>
      <c r="W735" s="68">
        <f t="shared" si="186"/>
        <v>0</v>
      </c>
      <c r="X735" s="68">
        <f t="shared" si="187"/>
        <v>0</v>
      </c>
      <c r="Y735" s="68">
        <f t="shared" si="188"/>
        <v>0</v>
      </c>
      <c r="Z735" s="68">
        <f t="shared" si="189"/>
        <v>0</v>
      </c>
      <c r="AA735" s="68"/>
      <c r="AB735" s="68">
        <v>0</v>
      </c>
      <c r="AC735" s="69">
        <f t="shared" si="190"/>
        <v>0</v>
      </c>
      <c r="AD735" s="70">
        <v>0</v>
      </c>
      <c r="AE735" s="63">
        <v>40282</v>
      </c>
      <c r="AF735" s="72"/>
      <c r="AG735" s="63" t="s">
        <v>938</v>
      </c>
      <c r="AH735" s="23" t="s">
        <v>939</v>
      </c>
      <c r="AI735" s="60"/>
      <c r="AJ735" s="133" t="s">
        <v>1608</v>
      </c>
      <c r="AK735" s="73" t="s">
        <v>971</v>
      </c>
      <c r="AL735" s="3"/>
      <c r="AM735" s="4"/>
      <c r="AN735" s="5"/>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6"/>
      <c r="CO735" s="7"/>
      <c r="CP735" s="6"/>
      <c r="CQ735" s="7"/>
      <c r="CR735" s="6"/>
      <c r="CS735" s="7"/>
      <c r="CT735" s="8">
        <f t="shared" si="191"/>
        <v>0</v>
      </c>
      <c r="CU735" s="9"/>
      <c r="CV735" s="10"/>
      <c r="CW735" s="11"/>
      <c r="CX735" s="12"/>
      <c r="CY735" s="26"/>
      <c r="CZ735" s="12"/>
      <c r="DA735" s="9"/>
      <c r="DB735" s="10"/>
      <c r="DC735" s="64"/>
      <c r="DD735" s="22"/>
    </row>
    <row r="736" spans="1:108" s="119" customFormat="1" ht="24" outlineLevel="2">
      <c r="A736" s="178">
        <v>40282</v>
      </c>
      <c r="B736" s="82" t="s">
        <v>952</v>
      </c>
      <c r="C736" s="82" t="s">
        <v>860</v>
      </c>
      <c r="D736" s="165" t="s">
        <v>1182</v>
      </c>
      <c r="E736" s="167"/>
      <c r="F736" s="66"/>
      <c r="G736" s="66"/>
      <c r="H736" s="66">
        <v>70</v>
      </c>
      <c r="I736" s="66">
        <v>17</v>
      </c>
      <c r="J736" s="66"/>
      <c r="K736" s="66">
        <v>17</v>
      </c>
      <c r="L736" s="66"/>
      <c r="M736" s="66"/>
      <c r="N736" s="66"/>
      <c r="O736" s="66"/>
      <c r="P736" s="66"/>
      <c r="Q736" s="66"/>
      <c r="R736" s="66"/>
      <c r="S736" s="66"/>
      <c r="T736" s="67"/>
      <c r="U736" s="151"/>
      <c r="V736" s="1"/>
      <c r="W736" s="68">
        <f t="shared" si="186"/>
        <v>0</v>
      </c>
      <c r="X736" s="68">
        <f t="shared" si="187"/>
        <v>0</v>
      </c>
      <c r="Y736" s="68">
        <f t="shared" si="188"/>
        <v>0</v>
      </c>
      <c r="Z736" s="68">
        <f t="shared" si="189"/>
        <v>0</v>
      </c>
      <c r="AA736" s="68"/>
      <c r="AB736" s="68">
        <v>0</v>
      </c>
      <c r="AC736" s="69">
        <f t="shared" si="190"/>
        <v>0</v>
      </c>
      <c r="AD736" s="70">
        <v>0</v>
      </c>
      <c r="AE736" s="63">
        <v>40283</v>
      </c>
      <c r="AF736" s="72"/>
      <c r="AG736" s="63" t="s">
        <v>938</v>
      </c>
      <c r="AH736" s="23" t="s">
        <v>939</v>
      </c>
      <c r="AI736" s="60"/>
      <c r="AJ736" s="133" t="s">
        <v>1608</v>
      </c>
      <c r="AK736" s="73" t="s">
        <v>1714</v>
      </c>
      <c r="AL736" s="3"/>
      <c r="AM736" s="4"/>
      <c r="AN736" s="5"/>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6"/>
      <c r="CO736" s="7"/>
      <c r="CP736" s="6"/>
      <c r="CQ736" s="7"/>
      <c r="CR736" s="6"/>
      <c r="CS736" s="7"/>
      <c r="CT736" s="8">
        <f t="shared" si="191"/>
        <v>0</v>
      </c>
      <c r="CU736" s="9"/>
      <c r="CV736" s="10"/>
      <c r="CW736" s="11"/>
      <c r="CX736" s="12"/>
      <c r="CY736" s="26"/>
      <c r="CZ736" s="12"/>
      <c r="DA736" s="9"/>
      <c r="DB736" s="10"/>
      <c r="DC736" s="64"/>
      <c r="DD736" s="22"/>
    </row>
    <row r="737" spans="1:108" s="119" customFormat="1" outlineLevel="2">
      <c r="A737" s="178">
        <v>40284</v>
      </c>
      <c r="B737" s="82" t="s">
        <v>952</v>
      </c>
      <c r="C737" s="82" t="s">
        <v>1146</v>
      </c>
      <c r="D737" s="165" t="s">
        <v>1182</v>
      </c>
      <c r="E737" s="167"/>
      <c r="F737" s="66"/>
      <c r="G737" s="66"/>
      <c r="H737" s="66">
        <v>10</v>
      </c>
      <c r="I737" s="66">
        <v>2</v>
      </c>
      <c r="J737" s="66"/>
      <c r="K737" s="66">
        <v>2</v>
      </c>
      <c r="L737" s="66"/>
      <c r="M737" s="66"/>
      <c r="N737" s="66"/>
      <c r="O737" s="66"/>
      <c r="P737" s="66"/>
      <c r="Q737" s="66"/>
      <c r="R737" s="66"/>
      <c r="S737" s="66"/>
      <c r="T737" s="67"/>
      <c r="U737" s="151"/>
      <c r="V737" s="1"/>
      <c r="W737" s="68">
        <f t="shared" si="186"/>
        <v>0</v>
      </c>
      <c r="X737" s="68">
        <f t="shared" si="187"/>
        <v>0</v>
      </c>
      <c r="Y737" s="68">
        <f t="shared" si="188"/>
        <v>0</v>
      </c>
      <c r="Z737" s="68">
        <f t="shared" si="189"/>
        <v>0</v>
      </c>
      <c r="AA737" s="68"/>
      <c r="AB737" s="68">
        <v>0</v>
      </c>
      <c r="AC737" s="69">
        <f t="shared" si="190"/>
        <v>0</v>
      </c>
      <c r="AD737" s="70">
        <v>0</v>
      </c>
      <c r="AE737" s="63">
        <v>40284</v>
      </c>
      <c r="AF737" s="72"/>
      <c r="AG737" s="63" t="s">
        <v>938</v>
      </c>
      <c r="AH737" s="23" t="s">
        <v>939</v>
      </c>
      <c r="AI737" s="60"/>
      <c r="AJ737" s="133" t="s">
        <v>1608</v>
      </c>
      <c r="AK737" s="73" t="s">
        <v>1136</v>
      </c>
      <c r="AL737" s="3"/>
      <c r="AM737" s="4"/>
      <c r="AN737" s="5"/>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6"/>
      <c r="CO737" s="7"/>
      <c r="CP737" s="6"/>
      <c r="CQ737" s="7"/>
      <c r="CR737" s="6"/>
      <c r="CS737" s="7"/>
      <c r="CT737" s="8">
        <f t="shared" si="191"/>
        <v>0</v>
      </c>
      <c r="CU737" s="9"/>
      <c r="CV737" s="10"/>
      <c r="CW737" s="11"/>
      <c r="CX737" s="12"/>
      <c r="CY737" s="26"/>
      <c r="CZ737" s="12"/>
      <c r="DA737" s="9"/>
      <c r="DB737" s="10"/>
      <c r="DC737" s="64"/>
      <c r="DD737" s="22"/>
    </row>
    <row r="738" spans="1:108" s="119" customFormat="1" ht="96" outlineLevel="2">
      <c r="A738" s="178">
        <v>40284</v>
      </c>
      <c r="B738" s="82" t="s">
        <v>952</v>
      </c>
      <c r="C738" s="82" t="s">
        <v>2377</v>
      </c>
      <c r="D738" s="165" t="s">
        <v>1262</v>
      </c>
      <c r="E738" s="167"/>
      <c r="F738" s="66"/>
      <c r="G738" s="66"/>
      <c r="H738" s="66">
        <v>200</v>
      </c>
      <c r="I738" s="66">
        <v>50</v>
      </c>
      <c r="J738" s="66"/>
      <c r="K738" s="66">
        <v>50</v>
      </c>
      <c r="L738" s="66"/>
      <c r="M738" s="66"/>
      <c r="N738" s="66"/>
      <c r="O738" s="66"/>
      <c r="P738" s="66"/>
      <c r="Q738" s="66"/>
      <c r="R738" s="66"/>
      <c r="S738" s="66"/>
      <c r="T738" s="67"/>
      <c r="U738" s="151"/>
      <c r="V738" s="1"/>
      <c r="W738" s="68">
        <f t="shared" si="186"/>
        <v>0</v>
      </c>
      <c r="X738" s="68">
        <f t="shared" si="187"/>
        <v>0</v>
      </c>
      <c r="Y738" s="68">
        <f t="shared" si="188"/>
        <v>0</v>
      </c>
      <c r="Z738" s="68">
        <f t="shared" si="189"/>
        <v>0</v>
      </c>
      <c r="AA738" s="68"/>
      <c r="AB738" s="68">
        <v>0</v>
      </c>
      <c r="AC738" s="69">
        <f t="shared" si="190"/>
        <v>0</v>
      </c>
      <c r="AD738" s="70">
        <v>0</v>
      </c>
      <c r="AE738" s="63">
        <v>40284</v>
      </c>
      <c r="AF738" s="72"/>
      <c r="AG738" s="63" t="s">
        <v>938</v>
      </c>
      <c r="AH738" s="23" t="s">
        <v>939</v>
      </c>
      <c r="AI738" s="60"/>
      <c r="AJ738" s="133" t="s">
        <v>1608</v>
      </c>
      <c r="AK738" s="73" t="s">
        <v>1571</v>
      </c>
      <c r="AL738" s="3"/>
      <c r="AM738" s="4"/>
      <c r="AN738" s="5"/>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6"/>
      <c r="CO738" s="7"/>
      <c r="CP738" s="6"/>
      <c r="CQ738" s="7"/>
      <c r="CR738" s="6"/>
      <c r="CS738" s="7"/>
      <c r="CT738" s="8">
        <f t="shared" si="191"/>
        <v>0</v>
      </c>
      <c r="CU738" s="9"/>
      <c r="CV738" s="10"/>
      <c r="CW738" s="11"/>
      <c r="CX738" s="12"/>
      <c r="CY738" s="26"/>
      <c r="CZ738" s="12"/>
      <c r="DA738" s="9"/>
      <c r="DB738" s="10"/>
      <c r="DC738" s="64"/>
      <c r="DD738" s="22"/>
    </row>
    <row r="739" spans="1:108" s="119" customFormat="1" outlineLevel="2">
      <c r="A739" s="178">
        <v>40284</v>
      </c>
      <c r="B739" s="82" t="s">
        <v>952</v>
      </c>
      <c r="C739" s="82" t="s">
        <v>1224</v>
      </c>
      <c r="D739" s="165" t="s">
        <v>1262</v>
      </c>
      <c r="E739" s="167"/>
      <c r="F739" s="66"/>
      <c r="G739" s="66"/>
      <c r="H739" s="66">
        <v>20</v>
      </c>
      <c r="I739" s="66">
        <v>5</v>
      </c>
      <c r="J739" s="66"/>
      <c r="K739" s="66">
        <v>5</v>
      </c>
      <c r="L739" s="66"/>
      <c r="M739" s="66"/>
      <c r="N739" s="66"/>
      <c r="O739" s="66"/>
      <c r="P739" s="66"/>
      <c r="Q739" s="66"/>
      <c r="R739" s="66"/>
      <c r="S739" s="66"/>
      <c r="T739" s="67"/>
      <c r="U739" s="151"/>
      <c r="V739" s="1"/>
      <c r="W739" s="68">
        <f t="shared" si="186"/>
        <v>0</v>
      </c>
      <c r="X739" s="68">
        <f t="shared" si="187"/>
        <v>0</v>
      </c>
      <c r="Y739" s="68">
        <f t="shared" si="188"/>
        <v>0</v>
      </c>
      <c r="Z739" s="68">
        <f t="shared" si="189"/>
        <v>0</v>
      </c>
      <c r="AA739" s="68"/>
      <c r="AB739" s="68">
        <v>0</v>
      </c>
      <c r="AC739" s="69">
        <f t="shared" si="190"/>
        <v>0</v>
      </c>
      <c r="AD739" s="70">
        <v>0</v>
      </c>
      <c r="AE739" s="63">
        <v>40284</v>
      </c>
      <c r="AF739" s="72"/>
      <c r="AG739" s="63" t="s">
        <v>938</v>
      </c>
      <c r="AH739" s="23" t="s">
        <v>939</v>
      </c>
      <c r="AI739" s="60"/>
      <c r="AJ739" s="133" t="s">
        <v>1608</v>
      </c>
      <c r="AK739" s="73" t="s">
        <v>438</v>
      </c>
      <c r="AL739" s="3"/>
      <c r="AM739" s="4"/>
      <c r="AN739" s="5"/>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6"/>
      <c r="CO739" s="7"/>
      <c r="CP739" s="6"/>
      <c r="CQ739" s="7"/>
      <c r="CR739" s="6"/>
      <c r="CS739" s="7"/>
      <c r="CT739" s="8">
        <f t="shared" si="191"/>
        <v>0</v>
      </c>
      <c r="CU739" s="9"/>
      <c r="CV739" s="10"/>
      <c r="CW739" s="11"/>
      <c r="CX739" s="12"/>
      <c r="CY739" s="26"/>
      <c r="CZ739" s="12"/>
      <c r="DA739" s="9"/>
      <c r="DB739" s="10"/>
      <c r="DC739" s="64"/>
      <c r="DD739" s="22"/>
    </row>
    <row r="740" spans="1:108" s="119" customFormat="1" outlineLevel="2">
      <c r="A740" s="178">
        <v>40286</v>
      </c>
      <c r="B740" s="82" t="s">
        <v>952</v>
      </c>
      <c r="C740" s="82" t="s">
        <v>420</v>
      </c>
      <c r="D740" s="165" t="s">
        <v>1262</v>
      </c>
      <c r="E740" s="167"/>
      <c r="F740" s="66"/>
      <c r="G740" s="66"/>
      <c r="H740" s="66">
        <v>22</v>
      </c>
      <c r="I740" s="66">
        <v>5</v>
      </c>
      <c r="J740" s="66"/>
      <c r="K740" s="66">
        <v>5</v>
      </c>
      <c r="L740" s="66"/>
      <c r="M740" s="66"/>
      <c r="N740" s="66"/>
      <c r="O740" s="66"/>
      <c r="P740" s="66"/>
      <c r="Q740" s="66"/>
      <c r="R740" s="66"/>
      <c r="S740" s="66"/>
      <c r="T740" s="67"/>
      <c r="U740" s="151"/>
      <c r="V740" s="1"/>
      <c r="W740" s="68">
        <f t="shared" si="186"/>
        <v>0</v>
      </c>
      <c r="X740" s="68">
        <f t="shared" si="187"/>
        <v>0</v>
      </c>
      <c r="Y740" s="68">
        <f t="shared" si="188"/>
        <v>0</v>
      </c>
      <c r="Z740" s="68">
        <f t="shared" si="189"/>
        <v>0</v>
      </c>
      <c r="AA740" s="68"/>
      <c r="AB740" s="68">
        <v>0</v>
      </c>
      <c r="AC740" s="69">
        <f t="shared" si="190"/>
        <v>0</v>
      </c>
      <c r="AD740" s="70">
        <v>0</v>
      </c>
      <c r="AE740" s="63">
        <v>40287</v>
      </c>
      <c r="AF740" s="72"/>
      <c r="AG740" s="63" t="s">
        <v>938</v>
      </c>
      <c r="AH740" s="23" t="s">
        <v>939</v>
      </c>
      <c r="AI740" s="60"/>
      <c r="AJ740" s="133" t="s">
        <v>1608</v>
      </c>
      <c r="AK740" s="73" t="s">
        <v>1852</v>
      </c>
      <c r="AL740" s="3"/>
      <c r="AM740" s="4"/>
      <c r="AN740" s="5"/>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6"/>
      <c r="CO740" s="7"/>
      <c r="CP740" s="6"/>
      <c r="CQ740" s="7"/>
      <c r="CR740" s="6"/>
      <c r="CS740" s="7"/>
      <c r="CT740" s="8">
        <f t="shared" si="191"/>
        <v>0</v>
      </c>
      <c r="CU740" s="9"/>
      <c r="CV740" s="10"/>
      <c r="CW740" s="11"/>
      <c r="CX740" s="12"/>
      <c r="CY740" s="26"/>
      <c r="CZ740" s="12"/>
      <c r="DA740" s="9"/>
      <c r="DB740" s="10"/>
      <c r="DC740" s="64"/>
      <c r="DD740" s="22"/>
    </row>
    <row r="741" spans="1:108" s="119" customFormat="1" ht="36" outlineLevel="2">
      <c r="A741" s="178">
        <v>40298</v>
      </c>
      <c r="B741" s="82" t="s">
        <v>952</v>
      </c>
      <c r="C741" s="82" t="s">
        <v>1709</v>
      </c>
      <c r="D741" s="165" t="s">
        <v>1262</v>
      </c>
      <c r="E741" s="167"/>
      <c r="F741" s="66"/>
      <c r="G741" s="66"/>
      <c r="H741" s="66">
        <v>16</v>
      </c>
      <c r="I741" s="66">
        <v>2</v>
      </c>
      <c r="J741" s="66"/>
      <c r="K741" s="66">
        <v>2</v>
      </c>
      <c r="L741" s="66">
        <v>1</v>
      </c>
      <c r="M741" s="66"/>
      <c r="N741" s="66"/>
      <c r="O741" s="66"/>
      <c r="P741" s="66"/>
      <c r="Q741" s="66"/>
      <c r="R741" s="66">
        <v>1</v>
      </c>
      <c r="S741" s="66"/>
      <c r="T741" s="67"/>
      <c r="U741" s="151"/>
      <c r="V741" s="1"/>
      <c r="W741" s="68">
        <f t="shared" si="186"/>
        <v>0</v>
      </c>
      <c r="X741" s="68">
        <f t="shared" si="187"/>
        <v>0</v>
      </c>
      <c r="Y741" s="68">
        <f t="shared" si="188"/>
        <v>0</v>
      </c>
      <c r="Z741" s="68">
        <f t="shared" si="189"/>
        <v>0</v>
      </c>
      <c r="AA741" s="68"/>
      <c r="AB741" s="68">
        <v>0</v>
      </c>
      <c r="AC741" s="69">
        <f t="shared" si="190"/>
        <v>0</v>
      </c>
      <c r="AD741" s="70">
        <v>0</v>
      </c>
      <c r="AE741" s="63">
        <v>40302</v>
      </c>
      <c r="AF741" s="72"/>
      <c r="AG741" s="63" t="s">
        <v>938</v>
      </c>
      <c r="AH741" s="23" t="s">
        <v>939</v>
      </c>
      <c r="AI741" s="60"/>
      <c r="AJ741" s="133" t="s">
        <v>1608</v>
      </c>
      <c r="AK741" s="73" t="s">
        <v>1593</v>
      </c>
      <c r="AL741" s="3"/>
      <c r="AM741" s="4"/>
      <c r="AN741" s="5"/>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6"/>
      <c r="CO741" s="7"/>
      <c r="CP741" s="6"/>
      <c r="CQ741" s="7"/>
      <c r="CR741" s="6"/>
      <c r="CS741" s="7"/>
      <c r="CT741" s="8">
        <f t="shared" si="191"/>
        <v>0</v>
      </c>
      <c r="CU741" s="9"/>
      <c r="CV741" s="10"/>
      <c r="CW741" s="11"/>
      <c r="CX741" s="12"/>
      <c r="CY741" s="26"/>
      <c r="CZ741" s="12"/>
      <c r="DA741" s="9"/>
      <c r="DB741" s="10"/>
      <c r="DC741" s="64"/>
      <c r="DD741" s="22"/>
    </row>
    <row r="742" spans="1:108" s="119" customFormat="1" ht="60" outlineLevel="2">
      <c r="A742" s="178">
        <v>40300</v>
      </c>
      <c r="B742" s="82" t="s">
        <v>952</v>
      </c>
      <c r="C742" s="82" t="s">
        <v>1710</v>
      </c>
      <c r="D742" s="165" t="s">
        <v>1262</v>
      </c>
      <c r="E742" s="167"/>
      <c r="F742" s="66"/>
      <c r="G742" s="66"/>
      <c r="H742" s="66">
        <v>55</v>
      </c>
      <c r="I742" s="66">
        <v>11</v>
      </c>
      <c r="J742" s="66"/>
      <c r="K742" s="66">
        <v>11</v>
      </c>
      <c r="L742" s="66"/>
      <c r="M742" s="66"/>
      <c r="N742" s="66"/>
      <c r="O742" s="66"/>
      <c r="P742" s="66"/>
      <c r="Q742" s="66"/>
      <c r="R742" s="66"/>
      <c r="S742" s="66"/>
      <c r="T742" s="67"/>
      <c r="U742" s="151"/>
      <c r="V742" s="1"/>
      <c r="W742" s="68">
        <f t="shared" si="186"/>
        <v>0</v>
      </c>
      <c r="X742" s="68">
        <f t="shared" si="187"/>
        <v>0</v>
      </c>
      <c r="Y742" s="68">
        <f t="shared" si="188"/>
        <v>0</v>
      </c>
      <c r="Z742" s="68">
        <f t="shared" si="189"/>
        <v>0</v>
      </c>
      <c r="AA742" s="68"/>
      <c r="AB742" s="68">
        <v>0</v>
      </c>
      <c r="AC742" s="69">
        <f t="shared" si="190"/>
        <v>0</v>
      </c>
      <c r="AD742" s="70">
        <v>0</v>
      </c>
      <c r="AE742" s="63">
        <v>40302</v>
      </c>
      <c r="AF742" s="72"/>
      <c r="AG742" s="63" t="s">
        <v>938</v>
      </c>
      <c r="AH742" s="23" t="s">
        <v>939</v>
      </c>
      <c r="AI742" s="60"/>
      <c r="AJ742" s="133" t="s">
        <v>1608</v>
      </c>
      <c r="AK742" s="73" t="s">
        <v>1711</v>
      </c>
      <c r="AL742" s="3"/>
      <c r="AM742" s="4"/>
      <c r="AN742" s="5"/>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6"/>
      <c r="CO742" s="7"/>
      <c r="CP742" s="6"/>
      <c r="CQ742" s="7"/>
      <c r="CR742" s="6"/>
      <c r="CS742" s="7"/>
      <c r="CT742" s="8">
        <f t="shared" si="191"/>
        <v>0</v>
      </c>
      <c r="CU742" s="9"/>
      <c r="CV742" s="10"/>
      <c r="CW742" s="11"/>
      <c r="CX742" s="12"/>
      <c r="CY742" s="26"/>
      <c r="CZ742" s="12"/>
      <c r="DA742" s="9"/>
      <c r="DB742" s="10"/>
      <c r="DC742" s="64"/>
      <c r="DD742" s="22"/>
    </row>
    <row r="743" spans="1:108" s="119" customFormat="1" ht="72" outlineLevel="2">
      <c r="A743" s="178">
        <v>40303</v>
      </c>
      <c r="B743" s="82" t="s">
        <v>952</v>
      </c>
      <c r="C743" s="82" t="s">
        <v>860</v>
      </c>
      <c r="D743" s="165" t="s">
        <v>1262</v>
      </c>
      <c r="E743" s="167"/>
      <c r="F743" s="66"/>
      <c r="G743" s="66"/>
      <c r="H743" s="66">
        <v>240</v>
      </c>
      <c r="I743" s="66">
        <v>60</v>
      </c>
      <c r="J743" s="66"/>
      <c r="K743" s="66">
        <v>60</v>
      </c>
      <c r="L743" s="66"/>
      <c r="M743" s="66"/>
      <c r="N743" s="66"/>
      <c r="O743" s="66"/>
      <c r="P743" s="66"/>
      <c r="Q743" s="66"/>
      <c r="R743" s="66"/>
      <c r="S743" s="66"/>
      <c r="T743" s="67"/>
      <c r="U743" s="151" t="s">
        <v>1597</v>
      </c>
      <c r="V743" s="1"/>
      <c r="W743" s="68">
        <f t="shared" si="186"/>
        <v>0</v>
      </c>
      <c r="X743" s="68">
        <f t="shared" si="187"/>
        <v>0</v>
      </c>
      <c r="Y743" s="68">
        <f t="shared" si="188"/>
        <v>0</v>
      </c>
      <c r="Z743" s="68">
        <f t="shared" si="189"/>
        <v>0</v>
      </c>
      <c r="AA743" s="68"/>
      <c r="AB743" s="68">
        <v>0</v>
      </c>
      <c r="AC743" s="69">
        <f t="shared" si="190"/>
        <v>0</v>
      </c>
      <c r="AD743" s="70">
        <v>0</v>
      </c>
      <c r="AE743" s="63">
        <v>40304</v>
      </c>
      <c r="AF743" s="72"/>
      <c r="AG743" s="63" t="s">
        <v>938</v>
      </c>
      <c r="AH743" s="23" t="s">
        <v>939</v>
      </c>
      <c r="AI743" s="60"/>
      <c r="AJ743" s="133" t="s">
        <v>1608</v>
      </c>
      <c r="AK743" s="73" t="s">
        <v>1249</v>
      </c>
      <c r="AL743" s="3"/>
      <c r="AM743" s="4"/>
      <c r="AN743" s="5"/>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6"/>
      <c r="CO743" s="7"/>
      <c r="CP743" s="6"/>
      <c r="CQ743" s="7"/>
      <c r="CR743" s="6"/>
      <c r="CS743" s="7"/>
      <c r="CT743" s="8">
        <f t="shared" si="191"/>
        <v>0</v>
      </c>
      <c r="CU743" s="9"/>
      <c r="CV743" s="10"/>
      <c r="CW743" s="11"/>
      <c r="CX743" s="12"/>
      <c r="CY743" s="26"/>
      <c r="CZ743" s="12"/>
      <c r="DA743" s="9"/>
      <c r="DB743" s="10"/>
      <c r="DC743" s="64"/>
      <c r="DD743" s="22"/>
    </row>
    <row r="744" spans="1:108" s="119" customFormat="1" ht="72" outlineLevel="2">
      <c r="A744" s="178">
        <v>40304</v>
      </c>
      <c r="B744" s="82" t="s">
        <v>952</v>
      </c>
      <c r="C744" s="82" t="s">
        <v>1250</v>
      </c>
      <c r="D744" s="165" t="s">
        <v>1182</v>
      </c>
      <c r="E744" s="167"/>
      <c r="F744" s="66"/>
      <c r="G744" s="66"/>
      <c r="H744" s="66">
        <f>20*5</f>
        <v>100</v>
      </c>
      <c r="I744" s="66">
        <v>20</v>
      </c>
      <c r="J744" s="66">
        <v>20</v>
      </c>
      <c r="K744" s="66"/>
      <c r="L744" s="66"/>
      <c r="M744" s="66"/>
      <c r="N744" s="66"/>
      <c r="O744" s="66"/>
      <c r="P744" s="66"/>
      <c r="Q744" s="66"/>
      <c r="R744" s="66"/>
      <c r="S744" s="66"/>
      <c r="T744" s="67"/>
      <c r="U744" s="151"/>
      <c r="V744" s="1">
        <v>40504</v>
      </c>
      <c r="W744" s="68">
        <f t="shared" si="186"/>
        <v>0</v>
      </c>
      <c r="X744" s="68">
        <f t="shared" si="187"/>
        <v>0</v>
      </c>
      <c r="Y744" s="68">
        <f t="shared" si="188"/>
        <v>0</v>
      </c>
      <c r="Z744" s="68">
        <f t="shared" si="189"/>
        <v>0</v>
      </c>
      <c r="AA744" s="68"/>
      <c r="AB744" s="68">
        <v>222814963</v>
      </c>
      <c r="AC744" s="69">
        <f t="shared" si="190"/>
        <v>222814963</v>
      </c>
      <c r="AD744" s="70">
        <v>0</v>
      </c>
      <c r="AE744" s="63">
        <v>40306</v>
      </c>
      <c r="AF744" s="72"/>
      <c r="AG744" s="63" t="s">
        <v>954</v>
      </c>
      <c r="AH744" s="23" t="s">
        <v>955</v>
      </c>
      <c r="AI744" s="60">
        <v>40725</v>
      </c>
      <c r="AJ744" s="133" t="s">
        <v>1863</v>
      </c>
      <c r="AK744" s="73" t="s">
        <v>697</v>
      </c>
      <c r="AL744" s="3"/>
      <c r="AM744" s="4"/>
      <c r="AN744" s="5"/>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6"/>
      <c r="CO744" s="7"/>
      <c r="CP744" s="6"/>
      <c r="CQ744" s="7"/>
      <c r="CR744" s="6"/>
      <c r="CS744" s="7"/>
      <c r="CT744" s="8">
        <f t="shared" si="191"/>
        <v>0</v>
      </c>
      <c r="CU744" s="9"/>
      <c r="CV744" s="10"/>
      <c r="CW744" s="11"/>
      <c r="CX744" s="12"/>
      <c r="CY744" s="26"/>
      <c r="CZ744" s="12"/>
      <c r="DA744" s="9"/>
      <c r="DB744" s="10"/>
      <c r="DC744" s="64">
        <v>8</v>
      </c>
      <c r="DD744" s="22"/>
    </row>
    <row r="745" spans="1:108" s="119" customFormat="1" outlineLevel="2">
      <c r="A745" s="178">
        <v>40304</v>
      </c>
      <c r="B745" s="82" t="s">
        <v>952</v>
      </c>
      <c r="C745" s="82" t="s">
        <v>1871</v>
      </c>
      <c r="D745" s="165" t="s">
        <v>1262</v>
      </c>
      <c r="E745" s="167"/>
      <c r="F745" s="66"/>
      <c r="G745" s="66"/>
      <c r="H745" s="66">
        <v>100</v>
      </c>
      <c r="I745" s="66">
        <v>20</v>
      </c>
      <c r="J745" s="66"/>
      <c r="K745" s="66">
        <v>20</v>
      </c>
      <c r="L745" s="66"/>
      <c r="M745" s="66"/>
      <c r="N745" s="66"/>
      <c r="O745" s="66"/>
      <c r="P745" s="66"/>
      <c r="Q745" s="66"/>
      <c r="R745" s="66"/>
      <c r="S745" s="66"/>
      <c r="T745" s="67"/>
      <c r="U745" s="151"/>
      <c r="V745" s="1"/>
      <c r="W745" s="68">
        <f t="shared" si="186"/>
        <v>0</v>
      </c>
      <c r="X745" s="68">
        <f t="shared" si="187"/>
        <v>0</v>
      </c>
      <c r="Y745" s="68">
        <f t="shared" si="188"/>
        <v>0</v>
      </c>
      <c r="Z745" s="68">
        <f t="shared" si="189"/>
        <v>0</v>
      </c>
      <c r="AA745" s="68"/>
      <c r="AB745" s="68">
        <v>0</v>
      </c>
      <c r="AC745" s="69">
        <f t="shared" si="190"/>
        <v>0</v>
      </c>
      <c r="AD745" s="70">
        <v>0</v>
      </c>
      <c r="AE745" s="63">
        <v>40304</v>
      </c>
      <c r="AF745" s="72"/>
      <c r="AG745" s="63" t="s">
        <v>938</v>
      </c>
      <c r="AH745" s="23" t="s">
        <v>939</v>
      </c>
      <c r="AI745" s="60"/>
      <c r="AJ745" s="133" t="s">
        <v>1608</v>
      </c>
      <c r="AK745" s="73" t="s">
        <v>1598</v>
      </c>
      <c r="AL745" s="3"/>
      <c r="AM745" s="4"/>
      <c r="AN745" s="5"/>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6"/>
      <c r="CO745" s="7"/>
      <c r="CP745" s="6"/>
      <c r="CQ745" s="7"/>
      <c r="CR745" s="6"/>
      <c r="CS745" s="7"/>
      <c r="CT745" s="8">
        <f t="shared" si="191"/>
        <v>0</v>
      </c>
      <c r="CU745" s="9"/>
      <c r="CV745" s="10"/>
      <c r="CW745" s="11"/>
      <c r="CX745" s="12"/>
      <c r="CY745" s="26"/>
      <c r="CZ745" s="12"/>
      <c r="DA745" s="9"/>
      <c r="DB745" s="10"/>
      <c r="DC745" s="64"/>
      <c r="DD745" s="22"/>
    </row>
    <row r="746" spans="1:108" s="119" customFormat="1" ht="24" outlineLevel="2">
      <c r="A746" s="178">
        <v>40304</v>
      </c>
      <c r="B746" s="82" t="s">
        <v>952</v>
      </c>
      <c r="C746" s="82" t="s">
        <v>1663</v>
      </c>
      <c r="D746" s="165" t="s">
        <v>1182</v>
      </c>
      <c r="E746" s="167"/>
      <c r="F746" s="66"/>
      <c r="G746" s="66"/>
      <c r="H746" s="66"/>
      <c r="I746" s="66"/>
      <c r="J746" s="66"/>
      <c r="K746" s="66"/>
      <c r="L746" s="66">
        <v>1</v>
      </c>
      <c r="M746" s="66"/>
      <c r="N746" s="66"/>
      <c r="O746" s="66"/>
      <c r="P746" s="66"/>
      <c r="Q746" s="66"/>
      <c r="R746" s="66"/>
      <c r="S746" s="66"/>
      <c r="T746" s="67"/>
      <c r="U746" s="151"/>
      <c r="V746" s="1"/>
      <c r="W746" s="68">
        <f t="shared" si="186"/>
        <v>0</v>
      </c>
      <c r="X746" s="68">
        <f t="shared" si="187"/>
        <v>0</v>
      </c>
      <c r="Y746" s="68">
        <f t="shared" si="188"/>
        <v>0</v>
      </c>
      <c r="Z746" s="68">
        <f t="shared" si="189"/>
        <v>0</v>
      </c>
      <c r="AA746" s="68"/>
      <c r="AB746" s="68">
        <v>0</v>
      </c>
      <c r="AC746" s="69">
        <f t="shared" si="190"/>
        <v>0</v>
      </c>
      <c r="AD746" s="70">
        <v>0</v>
      </c>
      <c r="AE746" s="63">
        <v>40306</v>
      </c>
      <c r="AF746" s="72"/>
      <c r="AG746" s="63" t="s">
        <v>938</v>
      </c>
      <c r="AH746" s="23" t="s">
        <v>939</v>
      </c>
      <c r="AI746" s="60"/>
      <c r="AJ746" s="133" t="s">
        <v>1608</v>
      </c>
      <c r="AK746" s="73" t="s">
        <v>1251</v>
      </c>
      <c r="AL746" s="3"/>
      <c r="AM746" s="4"/>
      <c r="AN746" s="5"/>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6"/>
      <c r="CO746" s="7"/>
      <c r="CP746" s="6"/>
      <c r="CQ746" s="7"/>
      <c r="CR746" s="6"/>
      <c r="CS746" s="7"/>
      <c r="CT746" s="8">
        <f t="shared" si="191"/>
        <v>0</v>
      </c>
      <c r="CU746" s="9"/>
      <c r="CV746" s="10"/>
      <c r="CW746" s="11"/>
      <c r="CX746" s="12"/>
      <c r="CY746" s="26"/>
      <c r="CZ746" s="12"/>
      <c r="DA746" s="9"/>
      <c r="DB746" s="10"/>
      <c r="DC746" s="64"/>
      <c r="DD746" s="22"/>
    </row>
    <row r="747" spans="1:108" s="119" customFormat="1" ht="60" outlineLevel="2">
      <c r="A747" s="178">
        <v>40315</v>
      </c>
      <c r="B747" s="82" t="s">
        <v>952</v>
      </c>
      <c r="C747" s="82" t="s">
        <v>849</v>
      </c>
      <c r="D747" s="165" t="s">
        <v>435</v>
      </c>
      <c r="E747" s="167"/>
      <c r="F747" s="66"/>
      <c r="G747" s="66"/>
      <c r="H747" s="66">
        <f>36*5</f>
        <v>180</v>
      </c>
      <c r="I747" s="66">
        <v>36</v>
      </c>
      <c r="J747" s="66"/>
      <c r="K747" s="66">
        <v>36</v>
      </c>
      <c r="L747" s="66"/>
      <c r="M747" s="66"/>
      <c r="N747" s="66"/>
      <c r="O747" s="66"/>
      <c r="P747" s="66"/>
      <c r="Q747" s="66"/>
      <c r="R747" s="66">
        <v>2</v>
      </c>
      <c r="S747" s="66"/>
      <c r="T747" s="67"/>
      <c r="U747" s="151"/>
      <c r="V747" s="1"/>
      <c r="W747" s="68">
        <f t="shared" si="186"/>
        <v>0</v>
      </c>
      <c r="X747" s="68">
        <f t="shared" si="187"/>
        <v>0</v>
      </c>
      <c r="Y747" s="68">
        <f t="shared" si="188"/>
        <v>0</v>
      </c>
      <c r="Z747" s="68">
        <f t="shared" si="189"/>
        <v>0</v>
      </c>
      <c r="AA747" s="68"/>
      <c r="AB747" s="68">
        <v>0</v>
      </c>
      <c r="AC747" s="69">
        <f t="shared" si="190"/>
        <v>0</v>
      </c>
      <c r="AD747" s="70">
        <v>0</v>
      </c>
      <c r="AE747" s="63">
        <v>40372</v>
      </c>
      <c r="AF747" s="72">
        <v>34172</v>
      </c>
      <c r="AG747" s="63" t="s">
        <v>954</v>
      </c>
      <c r="AH747" s="23" t="s">
        <v>1572</v>
      </c>
      <c r="AI747" s="60"/>
      <c r="AJ747" s="133" t="s">
        <v>2255</v>
      </c>
      <c r="AK747" s="73" t="s">
        <v>1423</v>
      </c>
      <c r="AL747" s="3"/>
      <c r="AM747" s="4"/>
      <c r="AN747" s="5"/>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6"/>
      <c r="CO747" s="7"/>
      <c r="CP747" s="6"/>
      <c r="CQ747" s="7"/>
      <c r="CR747" s="6"/>
      <c r="CS747" s="7"/>
      <c r="CT747" s="8">
        <f t="shared" si="191"/>
        <v>0</v>
      </c>
      <c r="CU747" s="9"/>
      <c r="CV747" s="10"/>
      <c r="CW747" s="11"/>
      <c r="CX747" s="12"/>
      <c r="CY747" s="26"/>
      <c r="CZ747" s="12"/>
      <c r="DA747" s="9"/>
      <c r="DB747" s="10"/>
      <c r="DC747" s="64"/>
      <c r="DD747" s="22"/>
    </row>
    <row r="748" spans="1:108" s="119" customFormat="1" ht="24" outlineLevel="2">
      <c r="A748" s="178">
        <v>40322</v>
      </c>
      <c r="B748" s="82" t="s">
        <v>952</v>
      </c>
      <c r="C748" s="82" t="s">
        <v>1225</v>
      </c>
      <c r="D748" s="165" t="s">
        <v>435</v>
      </c>
      <c r="E748" s="167"/>
      <c r="F748" s="66"/>
      <c r="G748" s="66"/>
      <c r="H748" s="66">
        <v>200</v>
      </c>
      <c r="I748" s="66">
        <v>40</v>
      </c>
      <c r="J748" s="66"/>
      <c r="K748" s="66">
        <v>40</v>
      </c>
      <c r="L748" s="66"/>
      <c r="M748" s="66"/>
      <c r="N748" s="66"/>
      <c r="O748" s="66"/>
      <c r="P748" s="66"/>
      <c r="Q748" s="66"/>
      <c r="R748" s="66"/>
      <c r="S748" s="66"/>
      <c r="T748" s="67"/>
      <c r="U748" s="151"/>
      <c r="V748" s="1"/>
      <c r="W748" s="68">
        <f t="shared" si="186"/>
        <v>0</v>
      </c>
      <c r="X748" s="68">
        <f t="shared" si="187"/>
        <v>0</v>
      </c>
      <c r="Y748" s="68">
        <f t="shared" si="188"/>
        <v>0</v>
      </c>
      <c r="Z748" s="68">
        <f t="shared" si="189"/>
        <v>0</v>
      </c>
      <c r="AA748" s="68"/>
      <c r="AB748" s="68">
        <v>0</v>
      </c>
      <c r="AC748" s="69">
        <f t="shared" si="190"/>
        <v>0</v>
      </c>
      <c r="AD748" s="70">
        <v>0</v>
      </c>
      <c r="AE748" s="63">
        <v>40324</v>
      </c>
      <c r="AF748" s="72"/>
      <c r="AG748" s="63" t="s">
        <v>938</v>
      </c>
      <c r="AH748" s="23" t="s">
        <v>939</v>
      </c>
      <c r="AI748" s="60"/>
      <c r="AJ748" s="133" t="s">
        <v>1608</v>
      </c>
      <c r="AK748" s="73" t="s">
        <v>1924</v>
      </c>
      <c r="AL748" s="3"/>
      <c r="AM748" s="4"/>
      <c r="AN748" s="5"/>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6"/>
      <c r="CO748" s="7"/>
      <c r="CP748" s="6"/>
      <c r="CQ748" s="7"/>
      <c r="CR748" s="6"/>
      <c r="CS748" s="7"/>
      <c r="CT748" s="8">
        <f t="shared" si="191"/>
        <v>0</v>
      </c>
      <c r="CU748" s="9"/>
      <c r="CV748" s="10"/>
      <c r="CW748" s="11"/>
      <c r="CX748" s="12"/>
      <c r="CY748" s="26"/>
      <c r="CZ748" s="12"/>
      <c r="DA748" s="9"/>
      <c r="DB748" s="10"/>
      <c r="DC748" s="64"/>
      <c r="DD748" s="22"/>
    </row>
    <row r="749" spans="1:108" s="119" customFormat="1" outlineLevel="2">
      <c r="A749" s="178">
        <v>40323</v>
      </c>
      <c r="B749" s="82" t="s">
        <v>952</v>
      </c>
      <c r="C749" s="82" t="s">
        <v>1663</v>
      </c>
      <c r="D749" s="165" t="s">
        <v>1262</v>
      </c>
      <c r="E749" s="167"/>
      <c r="F749" s="66"/>
      <c r="G749" s="66"/>
      <c r="H749" s="66">
        <v>5</v>
      </c>
      <c r="I749" s="66">
        <v>1</v>
      </c>
      <c r="J749" s="66"/>
      <c r="K749" s="66">
        <v>1</v>
      </c>
      <c r="L749" s="66"/>
      <c r="M749" s="66"/>
      <c r="N749" s="66"/>
      <c r="O749" s="66"/>
      <c r="P749" s="66"/>
      <c r="Q749" s="66"/>
      <c r="R749" s="66"/>
      <c r="S749" s="66"/>
      <c r="T749" s="67"/>
      <c r="U749" s="151"/>
      <c r="V749" s="1"/>
      <c r="W749" s="68">
        <f t="shared" si="186"/>
        <v>0</v>
      </c>
      <c r="X749" s="68">
        <f t="shared" si="187"/>
        <v>0</v>
      </c>
      <c r="Y749" s="68">
        <f t="shared" si="188"/>
        <v>0</v>
      </c>
      <c r="Z749" s="68">
        <f t="shared" si="189"/>
        <v>0</v>
      </c>
      <c r="AA749" s="68"/>
      <c r="AB749" s="68">
        <v>0</v>
      </c>
      <c r="AC749" s="69">
        <f t="shared" si="190"/>
        <v>0</v>
      </c>
      <c r="AD749" s="70">
        <v>0</v>
      </c>
      <c r="AE749" s="63">
        <v>40326</v>
      </c>
      <c r="AF749" s="72"/>
      <c r="AG749" s="63" t="s">
        <v>938</v>
      </c>
      <c r="AH749" s="23" t="s">
        <v>939</v>
      </c>
      <c r="AI749" s="60"/>
      <c r="AJ749" s="133" t="s">
        <v>1608</v>
      </c>
      <c r="AK749" s="73" t="s">
        <v>1927</v>
      </c>
      <c r="AL749" s="3"/>
      <c r="AM749" s="4"/>
      <c r="AN749" s="5"/>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6"/>
      <c r="CO749" s="7"/>
      <c r="CP749" s="6"/>
      <c r="CQ749" s="7"/>
      <c r="CR749" s="6"/>
      <c r="CS749" s="7"/>
      <c r="CT749" s="8">
        <f t="shared" si="191"/>
        <v>0</v>
      </c>
      <c r="CU749" s="9"/>
      <c r="CV749" s="10"/>
      <c r="CW749" s="11"/>
      <c r="CX749" s="12"/>
      <c r="CY749" s="26"/>
      <c r="CZ749" s="12"/>
      <c r="DA749" s="9"/>
      <c r="DB749" s="10"/>
      <c r="DC749" s="64"/>
      <c r="DD749" s="22"/>
    </row>
    <row r="750" spans="1:108" s="119" customFormat="1" ht="36" outlineLevel="2">
      <c r="A750" s="178">
        <v>40328</v>
      </c>
      <c r="B750" s="82" t="s">
        <v>952</v>
      </c>
      <c r="C750" s="82" t="s">
        <v>1909</v>
      </c>
      <c r="D750" s="165" t="s">
        <v>1262</v>
      </c>
      <c r="E750" s="167"/>
      <c r="F750" s="66"/>
      <c r="G750" s="66"/>
      <c r="H750" s="66">
        <v>87</v>
      </c>
      <c r="I750" s="66">
        <v>15</v>
      </c>
      <c r="J750" s="66"/>
      <c r="K750" s="66">
        <v>15</v>
      </c>
      <c r="L750" s="66"/>
      <c r="M750" s="66"/>
      <c r="N750" s="66"/>
      <c r="O750" s="66"/>
      <c r="P750" s="66"/>
      <c r="Q750" s="66"/>
      <c r="R750" s="66"/>
      <c r="S750" s="66"/>
      <c r="T750" s="67"/>
      <c r="U750" s="151"/>
      <c r="V750" s="1"/>
      <c r="W750" s="68">
        <f t="shared" si="186"/>
        <v>0</v>
      </c>
      <c r="X750" s="68">
        <f t="shared" si="187"/>
        <v>0</v>
      </c>
      <c r="Y750" s="68">
        <f t="shared" si="188"/>
        <v>0</v>
      </c>
      <c r="Z750" s="68">
        <f t="shared" si="189"/>
        <v>0</v>
      </c>
      <c r="AA750" s="68"/>
      <c r="AB750" s="68">
        <v>0</v>
      </c>
      <c r="AC750" s="69">
        <f t="shared" si="190"/>
        <v>0</v>
      </c>
      <c r="AD750" s="70">
        <v>0</v>
      </c>
      <c r="AE750" s="63">
        <v>40329</v>
      </c>
      <c r="AF750" s="72"/>
      <c r="AG750" s="63" t="s">
        <v>938</v>
      </c>
      <c r="AH750" s="23" t="s">
        <v>939</v>
      </c>
      <c r="AI750" s="60"/>
      <c r="AJ750" s="133" t="s">
        <v>1608</v>
      </c>
      <c r="AK750" s="73" t="s">
        <v>1575</v>
      </c>
      <c r="AL750" s="3"/>
      <c r="AM750" s="4"/>
      <c r="AN750" s="5"/>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6"/>
      <c r="CO750" s="7"/>
      <c r="CP750" s="6"/>
      <c r="CQ750" s="7"/>
      <c r="CR750" s="6"/>
      <c r="CS750" s="7"/>
      <c r="CT750" s="8">
        <f t="shared" si="191"/>
        <v>0</v>
      </c>
      <c r="CU750" s="9"/>
      <c r="CV750" s="10"/>
      <c r="CW750" s="11"/>
      <c r="CX750" s="12"/>
      <c r="CY750" s="26"/>
      <c r="CZ750" s="12"/>
      <c r="DA750" s="9"/>
      <c r="DB750" s="10"/>
      <c r="DC750" s="64"/>
      <c r="DD750" s="22"/>
    </row>
    <row r="751" spans="1:108" s="119" customFormat="1" ht="24" outlineLevel="2">
      <c r="A751" s="178">
        <v>40328</v>
      </c>
      <c r="B751" s="82" t="s">
        <v>952</v>
      </c>
      <c r="C751" s="82" t="s">
        <v>1659</v>
      </c>
      <c r="D751" s="165" t="s">
        <v>1262</v>
      </c>
      <c r="E751" s="167"/>
      <c r="F751" s="66"/>
      <c r="G751" s="66"/>
      <c r="H751" s="66">
        <v>10</v>
      </c>
      <c r="I751" s="66">
        <v>2</v>
      </c>
      <c r="J751" s="66"/>
      <c r="K751" s="66">
        <v>2</v>
      </c>
      <c r="L751" s="66"/>
      <c r="M751" s="66"/>
      <c r="N751" s="66"/>
      <c r="O751" s="66"/>
      <c r="P751" s="66"/>
      <c r="Q751" s="66"/>
      <c r="R751" s="66"/>
      <c r="S751" s="66"/>
      <c r="T751" s="67"/>
      <c r="U751" s="151"/>
      <c r="V751" s="1"/>
      <c r="W751" s="68">
        <f t="shared" ref="W751:W782" si="192">CT751</f>
        <v>0</v>
      </c>
      <c r="X751" s="68">
        <f t="shared" ref="X751:X782" si="193">CX751</f>
        <v>0</v>
      </c>
      <c r="Y751" s="68">
        <f t="shared" ref="Y751:Y782" si="194">CZ751+DB751</f>
        <v>0</v>
      </c>
      <c r="Z751" s="68">
        <f t="shared" ref="Z751:Z782" si="195">CV751</f>
        <v>0</v>
      </c>
      <c r="AA751" s="68"/>
      <c r="AB751" s="68">
        <v>0</v>
      </c>
      <c r="AC751" s="69">
        <f t="shared" ref="AC751:AC782" si="196">W751+X751+Y751+Z751+AA751+AB751</f>
        <v>0</v>
      </c>
      <c r="AD751" s="70">
        <v>0</v>
      </c>
      <c r="AE751" s="63">
        <v>40329</v>
      </c>
      <c r="AF751" s="72"/>
      <c r="AG751" s="63" t="s">
        <v>938</v>
      </c>
      <c r="AH751" s="23" t="s">
        <v>939</v>
      </c>
      <c r="AI751" s="60"/>
      <c r="AJ751" s="133" t="s">
        <v>1608</v>
      </c>
      <c r="AK751" s="73" t="s">
        <v>1587</v>
      </c>
      <c r="AL751" s="3"/>
      <c r="AM751" s="4"/>
      <c r="AN751" s="5"/>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6"/>
      <c r="CO751" s="7"/>
      <c r="CP751" s="6"/>
      <c r="CQ751" s="7"/>
      <c r="CR751" s="6"/>
      <c r="CS751" s="7"/>
      <c r="CT751" s="8">
        <f t="shared" ref="CT751:CT782" si="197">AM751+AO751+AQ751+AS751+AU751+AW751+AY751+BA751+BC751+BE751+BG751+BI751+BK751+BM751+BO751+BQ751+BS751+BU751+BW751+BY751+CA751+CC751+CE751+CG751+CI751+CK751+CM751+CO751+CQ751+CS751</f>
        <v>0</v>
      </c>
      <c r="CU751" s="9"/>
      <c r="CV751" s="10"/>
      <c r="CW751" s="11"/>
      <c r="CX751" s="12"/>
      <c r="CY751" s="26"/>
      <c r="CZ751" s="12"/>
      <c r="DA751" s="9"/>
      <c r="DB751" s="10"/>
      <c r="DC751" s="64"/>
      <c r="DD751" s="22"/>
    </row>
    <row r="752" spans="1:108" s="119" customFormat="1" ht="36" outlineLevel="2">
      <c r="A752" s="178">
        <v>40330</v>
      </c>
      <c r="B752" s="82" t="s">
        <v>952</v>
      </c>
      <c r="C752" s="82" t="s">
        <v>1508</v>
      </c>
      <c r="D752" s="165" t="s">
        <v>1182</v>
      </c>
      <c r="E752" s="167"/>
      <c r="F752" s="66"/>
      <c r="G752" s="66"/>
      <c r="H752" s="66"/>
      <c r="I752" s="66"/>
      <c r="J752" s="66"/>
      <c r="K752" s="66"/>
      <c r="L752" s="66">
        <v>1</v>
      </c>
      <c r="M752" s="66"/>
      <c r="N752" s="66"/>
      <c r="O752" s="66"/>
      <c r="P752" s="66"/>
      <c r="Q752" s="66"/>
      <c r="R752" s="66"/>
      <c r="S752" s="66"/>
      <c r="T752" s="67"/>
      <c r="U752" s="151"/>
      <c r="V752" s="1"/>
      <c r="W752" s="68">
        <f t="shared" si="192"/>
        <v>0</v>
      </c>
      <c r="X752" s="68">
        <f t="shared" si="193"/>
        <v>0</v>
      </c>
      <c r="Y752" s="68">
        <f t="shared" si="194"/>
        <v>0</v>
      </c>
      <c r="Z752" s="68">
        <f t="shared" si="195"/>
        <v>0</v>
      </c>
      <c r="AA752" s="68"/>
      <c r="AB752" s="68">
        <v>0</v>
      </c>
      <c r="AC752" s="69">
        <f t="shared" si="196"/>
        <v>0</v>
      </c>
      <c r="AD752" s="70">
        <v>0</v>
      </c>
      <c r="AE752" s="63">
        <v>40395</v>
      </c>
      <c r="AF752" s="72">
        <v>39173</v>
      </c>
      <c r="AG752" s="63" t="s">
        <v>954</v>
      </c>
      <c r="AH752" s="23" t="s">
        <v>1572</v>
      </c>
      <c r="AI752" s="60"/>
      <c r="AJ752" s="133"/>
      <c r="AK752" s="73" t="s">
        <v>2256</v>
      </c>
      <c r="AL752" s="3"/>
      <c r="AM752" s="4"/>
      <c r="AN752" s="5"/>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6"/>
      <c r="CO752" s="7"/>
      <c r="CP752" s="6"/>
      <c r="CQ752" s="7"/>
      <c r="CR752" s="6"/>
      <c r="CS752" s="7"/>
      <c r="CT752" s="8">
        <f t="shared" si="197"/>
        <v>0</v>
      </c>
      <c r="CU752" s="9"/>
      <c r="CV752" s="10"/>
      <c r="CW752" s="11"/>
      <c r="CX752" s="12"/>
      <c r="CY752" s="26"/>
      <c r="CZ752" s="12"/>
      <c r="DA752" s="9"/>
      <c r="DB752" s="10"/>
      <c r="DC752" s="64"/>
      <c r="DD752" s="22"/>
    </row>
    <row r="753" spans="1:108" s="119" customFormat="1" outlineLevel="2">
      <c r="A753" s="178">
        <v>40333</v>
      </c>
      <c r="B753" s="82" t="s">
        <v>952</v>
      </c>
      <c r="C753" s="82" t="s">
        <v>860</v>
      </c>
      <c r="D753" s="165" t="s">
        <v>1182</v>
      </c>
      <c r="E753" s="167"/>
      <c r="F753" s="66"/>
      <c r="G753" s="66"/>
      <c r="H753" s="66">
        <v>14</v>
      </c>
      <c r="I753" s="66">
        <v>3</v>
      </c>
      <c r="J753" s="66"/>
      <c r="K753" s="66">
        <v>3</v>
      </c>
      <c r="L753" s="66"/>
      <c r="M753" s="66"/>
      <c r="N753" s="66"/>
      <c r="O753" s="66"/>
      <c r="P753" s="66"/>
      <c r="Q753" s="66"/>
      <c r="R753" s="66"/>
      <c r="S753" s="66"/>
      <c r="T753" s="67"/>
      <c r="U753" s="151"/>
      <c r="V753" s="1"/>
      <c r="W753" s="68">
        <f t="shared" si="192"/>
        <v>0</v>
      </c>
      <c r="X753" s="68">
        <f t="shared" si="193"/>
        <v>0</v>
      </c>
      <c r="Y753" s="68">
        <f t="shared" si="194"/>
        <v>0</v>
      </c>
      <c r="Z753" s="68">
        <f t="shared" si="195"/>
        <v>0</v>
      </c>
      <c r="AA753" s="68"/>
      <c r="AB753" s="68">
        <v>0</v>
      </c>
      <c r="AC753" s="69">
        <f t="shared" si="196"/>
        <v>0</v>
      </c>
      <c r="AD753" s="70">
        <v>0</v>
      </c>
      <c r="AE753" s="63">
        <v>40336</v>
      </c>
      <c r="AF753" s="72"/>
      <c r="AG753" s="63" t="s">
        <v>938</v>
      </c>
      <c r="AH753" s="23" t="s">
        <v>939</v>
      </c>
      <c r="AI753" s="60"/>
      <c r="AJ753" s="133" t="s">
        <v>1608</v>
      </c>
      <c r="AK753" s="73" t="s">
        <v>1669</v>
      </c>
      <c r="AL753" s="3"/>
      <c r="AM753" s="4"/>
      <c r="AN753" s="5"/>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6"/>
      <c r="CO753" s="7"/>
      <c r="CP753" s="6"/>
      <c r="CQ753" s="7"/>
      <c r="CR753" s="6"/>
      <c r="CS753" s="7"/>
      <c r="CT753" s="8">
        <f t="shared" si="197"/>
        <v>0</v>
      </c>
      <c r="CU753" s="9"/>
      <c r="CV753" s="10"/>
      <c r="CW753" s="11"/>
      <c r="CX753" s="12"/>
      <c r="CY753" s="26"/>
      <c r="CZ753" s="12"/>
      <c r="DA753" s="9"/>
      <c r="DB753" s="10"/>
      <c r="DC753" s="64"/>
      <c r="DD753" s="22"/>
    </row>
    <row r="754" spans="1:108" s="119" customFormat="1" outlineLevel="2">
      <c r="A754" s="178">
        <v>40336</v>
      </c>
      <c r="B754" s="82" t="s">
        <v>952</v>
      </c>
      <c r="C754" s="82" t="s">
        <v>860</v>
      </c>
      <c r="D754" s="165" t="s">
        <v>1182</v>
      </c>
      <c r="E754" s="167"/>
      <c r="F754" s="66"/>
      <c r="G754" s="66"/>
      <c r="H754" s="66">
        <v>17</v>
      </c>
      <c r="I754" s="66">
        <v>4</v>
      </c>
      <c r="J754" s="66"/>
      <c r="K754" s="66">
        <v>4</v>
      </c>
      <c r="L754" s="66"/>
      <c r="M754" s="66"/>
      <c r="N754" s="66"/>
      <c r="O754" s="66"/>
      <c r="P754" s="66"/>
      <c r="Q754" s="66"/>
      <c r="R754" s="66"/>
      <c r="S754" s="66"/>
      <c r="T754" s="67"/>
      <c r="U754" s="151"/>
      <c r="V754" s="1"/>
      <c r="W754" s="68">
        <f t="shared" si="192"/>
        <v>0</v>
      </c>
      <c r="X754" s="68">
        <f t="shared" si="193"/>
        <v>0</v>
      </c>
      <c r="Y754" s="68">
        <f t="shared" si="194"/>
        <v>0</v>
      </c>
      <c r="Z754" s="68">
        <f t="shared" si="195"/>
        <v>0</v>
      </c>
      <c r="AA754" s="68"/>
      <c r="AB754" s="68">
        <v>0</v>
      </c>
      <c r="AC754" s="69">
        <f t="shared" si="196"/>
        <v>0</v>
      </c>
      <c r="AD754" s="70">
        <v>0</v>
      </c>
      <c r="AE754" s="63">
        <v>40338</v>
      </c>
      <c r="AF754" s="72"/>
      <c r="AG754" s="63" t="s">
        <v>938</v>
      </c>
      <c r="AH754" s="23" t="s">
        <v>939</v>
      </c>
      <c r="AI754" s="60"/>
      <c r="AJ754" s="133" t="s">
        <v>1608</v>
      </c>
      <c r="AK754" s="73" t="s">
        <v>1878</v>
      </c>
      <c r="AL754" s="3"/>
      <c r="AM754" s="4"/>
      <c r="AN754" s="5"/>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6"/>
      <c r="CO754" s="7"/>
      <c r="CP754" s="6"/>
      <c r="CQ754" s="7"/>
      <c r="CR754" s="6"/>
      <c r="CS754" s="7"/>
      <c r="CT754" s="8">
        <f t="shared" si="197"/>
        <v>0</v>
      </c>
      <c r="CU754" s="9"/>
      <c r="CV754" s="10"/>
      <c r="CW754" s="11"/>
      <c r="CX754" s="12"/>
      <c r="CY754" s="26"/>
      <c r="CZ754" s="12"/>
      <c r="DA754" s="9"/>
      <c r="DB754" s="10"/>
      <c r="DC754" s="64"/>
      <c r="DD754" s="22"/>
    </row>
    <row r="755" spans="1:108" s="119" customFormat="1" ht="36" outlineLevel="2">
      <c r="A755" s="178">
        <v>40349</v>
      </c>
      <c r="B755" s="82" t="s">
        <v>952</v>
      </c>
      <c r="C755" s="82" t="s">
        <v>2377</v>
      </c>
      <c r="D755" s="165" t="s">
        <v>1262</v>
      </c>
      <c r="E755" s="167"/>
      <c r="F755" s="66"/>
      <c r="G755" s="66">
        <v>1</v>
      </c>
      <c r="H755" s="66"/>
      <c r="I755" s="66"/>
      <c r="J755" s="66"/>
      <c r="K755" s="66"/>
      <c r="L755" s="66"/>
      <c r="M755" s="66"/>
      <c r="N755" s="66"/>
      <c r="O755" s="66"/>
      <c r="P755" s="66"/>
      <c r="Q755" s="66"/>
      <c r="R755" s="66"/>
      <c r="S755" s="66"/>
      <c r="T755" s="67"/>
      <c r="U755" s="151"/>
      <c r="V755" s="1"/>
      <c r="W755" s="68">
        <f t="shared" si="192"/>
        <v>0</v>
      </c>
      <c r="X755" s="68">
        <f t="shared" si="193"/>
        <v>0</v>
      </c>
      <c r="Y755" s="68">
        <f t="shared" si="194"/>
        <v>0</v>
      </c>
      <c r="Z755" s="68">
        <f t="shared" si="195"/>
        <v>0</v>
      </c>
      <c r="AA755" s="68"/>
      <c r="AB755" s="68">
        <v>0</v>
      </c>
      <c r="AC755" s="69">
        <f t="shared" si="196"/>
        <v>0</v>
      </c>
      <c r="AD755" s="70">
        <v>0</v>
      </c>
      <c r="AE755" s="63">
        <v>40352</v>
      </c>
      <c r="AF755" s="72"/>
      <c r="AG755" s="63" t="s">
        <v>938</v>
      </c>
      <c r="AH755" s="23" t="s">
        <v>939</v>
      </c>
      <c r="AI755" s="60"/>
      <c r="AJ755" s="133" t="s">
        <v>1608</v>
      </c>
      <c r="AK755" s="73" t="s">
        <v>1916</v>
      </c>
      <c r="AL755" s="3"/>
      <c r="AM755" s="4"/>
      <c r="AN755" s="5"/>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6"/>
      <c r="CO755" s="7"/>
      <c r="CP755" s="6"/>
      <c r="CQ755" s="7"/>
      <c r="CR755" s="6"/>
      <c r="CS755" s="7"/>
      <c r="CT755" s="8">
        <f t="shared" si="197"/>
        <v>0</v>
      </c>
      <c r="CU755" s="9"/>
      <c r="CV755" s="10"/>
      <c r="CW755" s="11"/>
      <c r="CX755" s="12"/>
      <c r="CY755" s="26"/>
      <c r="CZ755" s="12"/>
      <c r="DA755" s="9"/>
      <c r="DB755" s="10"/>
      <c r="DC755" s="64"/>
      <c r="DD755" s="22"/>
    </row>
    <row r="756" spans="1:108" s="119" customFormat="1" ht="36" outlineLevel="2">
      <c r="A756" s="178">
        <v>40365</v>
      </c>
      <c r="B756" s="82" t="s">
        <v>952</v>
      </c>
      <c r="C756" s="82" t="s">
        <v>1888</v>
      </c>
      <c r="D756" s="165" t="s">
        <v>1262</v>
      </c>
      <c r="E756" s="167"/>
      <c r="F756" s="66"/>
      <c r="G756" s="66"/>
      <c r="H756" s="66">
        <v>10</v>
      </c>
      <c r="I756" s="66">
        <v>2</v>
      </c>
      <c r="J756" s="66"/>
      <c r="K756" s="66">
        <v>2</v>
      </c>
      <c r="L756" s="66"/>
      <c r="M756" s="66"/>
      <c r="N756" s="66"/>
      <c r="O756" s="66"/>
      <c r="P756" s="66"/>
      <c r="Q756" s="66"/>
      <c r="R756" s="66"/>
      <c r="S756" s="66"/>
      <c r="T756" s="67"/>
      <c r="U756" s="151"/>
      <c r="V756" s="1"/>
      <c r="W756" s="68">
        <f t="shared" si="192"/>
        <v>0</v>
      </c>
      <c r="X756" s="68">
        <f t="shared" si="193"/>
        <v>0</v>
      </c>
      <c r="Y756" s="68">
        <f t="shared" si="194"/>
        <v>0</v>
      </c>
      <c r="Z756" s="68">
        <f t="shared" si="195"/>
        <v>0</v>
      </c>
      <c r="AA756" s="68"/>
      <c r="AB756" s="68">
        <v>0</v>
      </c>
      <c r="AC756" s="69">
        <f t="shared" si="196"/>
        <v>0</v>
      </c>
      <c r="AD756" s="70">
        <v>0</v>
      </c>
      <c r="AE756" s="63">
        <v>40371</v>
      </c>
      <c r="AF756" s="72"/>
      <c r="AG756" s="63" t="s">
        <v>938</v>
      </c>
      <c r="AH756" s="23" t="s">
        <v>939</v>
      </c>
      <c r="AI756" s="60"/>
      <c r="AJ756" s="133" t="s">
        <v>1608</v>
      </c>
      <c r="AK756" s="73" t="s">
        <v>1758</v>
      </c>
      <c r="AL756" s="3"/>
      <c r="AM756" s="4"/>
      <c r="AN756" s="5"/>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6"/>
      <c r="CO756" s="7"/>
      <c r="CP756" s="6"/>
      <c r="CQ756" s="7"/>
      <c r="CR756" s="6"/>
      <c r="CS756" s="7"/>
      <c r="CT756" s="8">
        <f t="shared" si="197"/>
        <v>0</v>
      </c>
      <c r="CU756" s="9"/>
      <c r="CV756" s="10"/>
      <c r="CW756" s="11"/>
      <c r="CX756" s="12"/>
      <c r="CY756" s="26"/>
      <c r="CZ756" s="12"/>
      <c r="DA756" s="9"/>
      <c r="DB756" s="10"/>
      <c r="DC756" s="64"/>
      <c r="DD756" s="22"/>
    </row>
    <row r="757" spans="1:108" s="119" customFormat="1" ht="96" outlineLevel="2">
      <c r="A757" s="178">
        <v>40366</v>
      </c>
      <c r="B757" s="82" t="s">
        <v>952</v>
      </c>
      <c r="C757" s="82" t="s">
        <v>860</v>
      </c>
      <c r="D757" s="165" t="s">
        <v>1262</v>
      </c>
      <c r="E757" s="167"/>
      <c r="F757" s="66"/>
      <c r="G757" s="66"/>
      <c r="H757" s="66">
        <v>2300</v>
      </c>
      <c r="I757" s="66">
        <v>639</v>
      </c>
      <c r="J757" s="66"/>
      <c r="K757" s="66">
        <v>639</v>
      </c>
      <c r="L757" s="66"/>
      <c r="M757" s="66"/>
      <c r="N757" s="66"/>
      <c r="O757" s="66"/>
      <c r="P757" s="66"/>
      <c r="Q757" s="66"/>
      <c r="R757" s="66"/>
      <c r="S757" s="66"/>
      <c r="T757" s="67"/>
      <c r="U757" s="151"/>
      <c r="V757" s="1">
        <v>40381</v>
      </c>
      <c r="W757" s="68">
        <f t="shared" si="192"/>
        <v>95525000</v>
      </c>
      <c r="X757" s="68">
        <f t="shared" si="193"/>
        <v>0</v>
      </c>
      <c r="Y757" s="68">
        <f t="shared" si="194"/>
        <v>0</v>
      </c>
      <c r="Z757" s="68">
        <f t="shared" si="195"/>
        <v>0</v>
      </c>
      <c r="AA757" s="68"/>
      <c r="AB757" s="68">
        <v>0</v>
      </c>
      <c r="AC757" s="69">
        <f t="shared" si="196"/>
        <v>95525000</v>
      </c>
      <c r="AD757" s="70">
        <v>0</v>
      </c>
      <c r="AE757" s="63">
        <v>40375</v>
      </c>
      <c r="AF757" s="72">
        <v>35428</v>
      </c>
      <c r="AG757" s="63" t="s">
        <v>954</v>
      </c>
      <c r="AH757" s="23" t="s">
        <v>955</v>
      </c>
      <c r="AI757" s="60">
        <v>211</v>
      </c>
      <c r="AJ757" s="133" t="s">
        <v>1476</v>
      </c>
      <c r="AK757" s="73" t="s">
        <v>1463</v>
      </c>
      <c r="AL757" s="3"/>
      <c r="AM757" s="4"/>
      <c r="AN757" s="5"/>
      <c r="AO757" s="4"/>
      <c r="AP757" s="4"/>
      <c r="AQ757" s="4"/>
      <c r="AR757" s="4"/>
      <c r="AS757" s="4"/>
      <c r="AT757" s="4">
        <v>750</v>
      </c>
      <c r="AU757" s="4">
        <f>750*18000</f>
        <v>13500000</v>
      </c>
      <c r="AV757" s="4"/>
      <c r="AW757" s="4"/>
      <c r="AX757" s="4">
        <v>133</v>
      </c>
      <c r="AY757" s="4">
        <f>133*56000</f>
        <v>7448000</v>
      </c>
      <c r="AZ757" s="4">
        <v>967</v>
      </c>
      <c r="BA757" s="4">
        <f>967*56000</f>
        <v>54152000</v>
      </c>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6">
        <v>250</v>
      </c>
      <c r="CO757" s="7">
        <f>250*38500</f>
        <v>9625000</v>
      </c>
      <c r="CP757" s="6">
        <v>300</v>
      </c>
      <c r="CQ757" s="7">
        <f>300*36000</f>
        <v>10800000</v>
      </c>
      <c r="CR757" s="6"/>
      <c r="CS757" s="7"/>
      <c r="CT757" s="8">
        <f t="shared" si="197"/>
        <v>95525000</v>
      </c>
      <c r="CU757" s="9"/>
      <c r="CV757" s="10"/>
      <c r="CW757" s="11"/>
      <c r="CX757" s="12"/>
      <c r="CY757" s="26"/>
      <c r="CZ757" s="12"/>
      <c r="DA757" s="9"/>
      <c r="DB757" s="10"/>
      <c r="DC757" s="64"/>
      <c r="DD757" s="22"/>
    </row>
    <row r="758" spans="1:108" s="119" customFormat="1" ht="36" outlineLevel="2">
      <c r="A758" s="178">
        <v>40367</v>
      </c>
      <c r="B758" s="82" t="s">
        <v>952</v>
      </c>
      <c r="C758" s="82" t="s">
        <v>1566</v>
      </c>
      <c r="D758" s="165" t="s">
        <v>1262</v>
      </c>
      <c r="E758" s="167"/>
      <c r="F758" s="66"/>
      <c r="G758" s="66"/>
      <c r="H758" s="66">
        <v>35</v>
      </c>
      <c r="I758" s="66">
        <v>7</v>
      </c>
      <c r="J758" s="66"/>
      <c r="K758" s="66">
        <v>7</v>
      </c>
      <c r="L758" s="66"/>
      <c r="M758" s="66"/>
      <c r="N758" s="66"/>
      <c r="O758" s="66"/>
      <c r="P758" s="66"/>
      <c r="Q758" s="66"/>
      <c r="R758" s="66"/>
      <c r="S758" s="66"/>
      <c r="T758" s="67"/>
      <c r="U758" s="151"/>
      <c r="V758" s="1"/>
      <c r="W758" s="68">
        <f t="shared" si="192"/>
        <v>0</v>
      </c>
      <c r="X758" s="68">
        <f t="shared" si="193"/>
        <v>0</v>
      </c>
      <c r="Y758" s="68">
        <f t="shared" si="194"/>
        <v>0</v>
      </c>
      <c r="Z758" s="68">
        <f t="shared" si="195"/>
        <v>0</v>
      </c>
      <c r="AA758" s="68"/>
      <c r="AB758" s="68">
        <v>0</v>
      </c>
      <c r="AC758" s="69">
        <f t="shared" si="196"/>
        <v>0</v>
      </c>
      <c r="AD758" s="70">
        <v>0</v>
      </c>
      <c r="AE758" s="63">
        <v>40371</v>
      </c>
      <c r="AF758" s="72"/>
      <c r="AG758" s="63" t="s">
        <v>938</v>
      </c>
      <c r="AH758" s="23" t="s">
        <v>939</v>
      </c>
      <c r="AI758" s="60"/>
      <c r="AJ758" s="133" t="s">
        <v>1608</v>
      </c>
      <c r="AK758" s="73" t="s">
        <v>1454</v>
      </c>
      <c r="AL758" s="3"/>
      <c r="AM758" s="4"/>
      <c r="AN758" s="5"/>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6"/>
      <c r="CO758" s="7"/>
      <c r="CP758" s="6"/>
      <c r="CQ758" s="7"/>
      <c r="CR758" s="6"/>
      <c r="CS758" s="7"/>
      <c r="CT758" s="8">
        <f t="shared" si="197"/>
        <v>0</v>
      </c>
      <c r="CU758" s="9"/>
      <c r="CV758" s="10"/>
      <c r="CW758" s="11"/>
      <c r="CX758" s="12"/>
      <c r="CY758" s="26"/>
      <c r="CZ758" s="12"/>
      <c r="DA758" s="9"/>
      <c r="DB758" s="10"/>
      <c r="DC758" s="64"/>
      <c r="DD758" s="22"/>
    </row>
    <row r="759" spans="1:108" s="119" customFormat="1" ht="24" outlineLevel="2">
      <c r="A759" s="178">
        <v>40367</v>
      </c>
      <c r="B759" s="82" t="s">
        <v>952</v>
      </c>
      <c r="C759" s="82" t="s">
        <v>860</v>
      </c>
      <c r="D759" s="165" t="s">
        <v>1182</v>
      </c>
      <c r="E759" s="167">
        <v>1</v>
      </c>
      <c r="F759" s="66"/>
      <c r="G759" s="66"/>
      <c r="H759" s="66">
        <v>15</v>
      </c>
      <c r="I759" s="66">
        <v>3</v>
      </c>
      <c r="J759" s="66">
        <v>2</v>
      </c>
      <c r="K759" s="66">
        <v>1</v>
      </c>
      <c r="L759" s="66"/>
      <c r="M759" s="66"/>
      <c r="N759" s="66"/>
      <c r="O759" s="66"/>
      <c r="P759" s="66"/>
      <c r="Q759" s="66"/>
      <c r="R759" s="66"/>
      <c r="S759" s="66"/>
      <c r="T759" s="67"/>
      <c r="U759" s="151"/>
      <c r="V759" s="1"/>
      <c r="W759" s="68">
        <f t="shared" si="192"/>
        <v>0</v>
      </c>
      <c r="X759" s="68">
        <f t="shared" si="193"/>
        <v>0</v>
      </c>
      <c r="Y759" s="68">
        <f t="shared" si="194"/>
        <v>0</v>
      </c>
      <c r="Z759" s="68">
        <f t="shared" si="195"/>
        <v>0</v>
      </c>
      <c r="AA759" s="68"/>
      <c r="AB759" s="68">
        <v>0</v>
      </c>
      <c r="AC759" s="69">
        <f t="shared" si="196"/>
        <v>0</v>
      </c>
      <c r="AD759" s="70">
        <v>0</v>
      </c>
      <c r="AE759" s="63">
        <v>40371</v>
      </c>
      <c r="AF759" s="72"/>
      <c r="AG759" s="63" t="s">
        <v>938</v>
      </c>
      <c r="AH759" s="23" t="s">
        <v>939</v>
      </c>
      <c r="AI759" s="60"/>
      <c r="AJ759" s="133" t="s">
        <v>1608</v>
      </c>
      <c r="AK759" s="73" t="s">
        <v>1453</v>
      </c>
      <c r="AL759" s="3"/>
      <c r="AM759" s="4"/>
      <c r="AN759" s="5"/>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6"/>
      <c r="CO759" s="7"/>
      <c r="CP759" s="6"/>
      <c r="CQ759" s="7"/>
      <c r="CR759" s="6"/>
      <c r="CS759" s="7"/>
      <c r="CT759" s="8">
        <f t="shared" si="197"/>
        <v>0</v>
      </c>
      <c r="CU759" s="9"/>
      <c r="CV759" s="10"/>
      <c r="CW759" s="11"/>
      <c r="CX759" s="12"/>
      <c r="CY759" s="26"/>
      <c r="CZ759" s="12"/>
      <c r="DA759" s="9"/>
      <c r="DB759" s="10"/>
      <c r="DC759" s="64"/>
      <c r="DD759" s="22"/>
    </row>
    <row r="760" spans="1:108" s="119" customFormat="1" ht="24" outlineLevel="2">
      <c r="A760" s="178">
        <v>40368</v>
      </c>
      <c r="B760" s="82" t="s">
        <v>952</v>
      </c>
      <c r="C760" s="82" t="s">
        <v>860</v>
      </c>
      <c r="D760" s="165" t="s">
        <v>1182</v>
      </c>
      <c r="E760" s="167"/>
      <c r="F760" s="66"/>
      <c r="G760" s="66"/>
      <c r="H760" s="66">
        <v>5</v>
      </c>
      <c r="I760" s="66">
        <v>1</v>
      </c>
      <c r="J760" s="66"/>
      <c r="K760" s="66">
        <v>1</v>
      </c>
      <c r="L760" s="66"/>
      <c r="M760" s="66"/>
      <c r="N760" s="66"/>
      <c r="O760" s="66"/>
      <c r="P760" s="66"/>
      <c r="Q760" s="66"/>
      <c r="R760" s="66"/>
      <c r="S760" s="66"/>
      <c r="T760" s="67"/>
      <c r="U760" s="151"/>
      <c r="V760" s="1"/>
      <c r="W760" s="68">
        <f t="shared" si="192"/>
        <v>0</v>
      </c>
      <c r="X760" s="68">
        <f t="shared" si="193"/>
        <v>0</v>
      </c>
      <c r="Y760" s="68">
        <f t="shared" si="194"/>
        <v>0</v>
      </c>
      <c r="Z760" s="68">
        <f t="shared" si="195"/>
        <v>0</v>
      </c>
      <c r="AA760" s="68"/>
      <c r="AB760" s="68">
        <v>0</v>
      </c>
      <c r="AC760" s="69">
        <f t="shared" si="196"/>
        <v>0</v>
      </c>
      <c r="AD760" s="70">
        <v>0</v>
      </c>
      <c r="AE760" s="63">
        <v>40371</v>
      </c>
      <c r="AF760" s="72"/>
      <c r="AG760" s="63" t="s">
        <v>938</v>
      </c>
      <c r="AH760" s="23" t="s">
        <v>939</v>
      </c>
      <c r="AI760" s="60"/>
      <c r="AJ760" s="133" t="s">
        <v>1608</v>
      </c>
      <c r="AK760" s="73" t="s">
        <v>799</v>
      </c>
      <c r="AL760" s="3"/>
      <c r="AM760" s="4"/>
      <c r="AN760" s="5"/>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6"/>
      <c r="CO760" s="7"/>
      <c r="CP760" s="6"/>
      <c r="CQ760" s="7"/>
      <c r="CR760" s="6"/>
      <c r="CS760" s="7"/>
      <c r="CT760" s="8">
        <f t="shared" si="197"/>
        <v>0</v>
      </c>
      <c r="CU760" s="9"/>
      <c r="CV760" s="10"/>
      <c r="CW760" s="11"/>
      <c r="CX760" s="12"/>
      <c r="CY760" s="26"/>
      <c r="CZ760" s="12"/>
      <c r="DA760" s="9"/>
      <c r="DB760" s="10"/>
      <c r="DC760" s="64"/>
      <c r="DD760" s="22"/>
    </row>
    <row r="761" spans="1:108" s="119" customFormat="1" outlineLevel="2">
      <c r="A761" s="178">
        <v>40369</v>
      </c>
      <c r="B761" s="82" t="s">
        <v>952</v>
      </c>
      <c r="C761" s="82" t="s">
        <v>800</v>
      </c>
      <c r="D761" s="165" t="s">
        <v>1182</v>
      </c>
      <c r="E761" s="167"/>
      <c r="F761" s="66"/>
      <c r="G761" s="66"/>
      <c r="H761" s="66">
        <v>5</v>
      </c>
      <c r="I761" s="66">
        <v>1</v>
      </c>
      <c r="J761" s="66"/>
      <c r="K761" s="66">
        <v>1</v>
      </c>
      <c r="L761" s="66"/>
      <c r="M761" s="66"/>
      <c r="N761" s="66"/>
      <c r="O761" s="66"/>
      <c r="P761" s="66"/>
      <c r="Q761" s="66"/>
      <c r="R761" s="66"/>
      <c r="S761" s="66"/>
      <c r="T761" s="67"/>
      <c r="U761" s="151"/>
      <c r="V761" s="1"/>
      <c r="W761" s="68">
        <f t="shared" si="192"/>
        <v>0</v>
      </c>
      <c r="X761" s="68">
        <f t="shared" si="193"/>
        <v>0</v>
      </c>
      <c r="Y761" s="68">
        <f t="shared" si="194"/>
        <v>0</v>
      </c>
      <c r="Z761" s="68">
        <f t="shared" si="195"/>
        <v>0</v>
      </c>
      <c r="AA761" s="68"/>
      <c r="AB761" s="68">
        <v>0</v>
      </c>
      <c r="AC761" s="69">
        <f t="shared" si="196"/>
        <v>0</v>
      </c>
      <c r="AD761" s="70">
        <v>0</v>
      </c>
      <c r="AE761" s="63">
        <v>40375</v>
      </c>
      <c r="AF761" s="72"/>
      <c r="AG761" s="63" t="s">
        <v>938</v>
      </c>
      <c r="AH761" s="23" t="s">
        <v>939</v>
      </c>
      <c r="AI761" s="60"/>
      <c r="AJ761" s="133" t="s">
        <v>1608</v>
      </c>
      <c r="AK761" s="73" t="s">
        <v>801</v>
      </c>
      <c r="AL761" s="3"/>
      <c r="AM761" s="4"/>
      <c r="AN761" s="5"/>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6"/>
      <c r="CO761" s="7"/>
      <c r="CP761" s="6"/>
      <c r="CQ761" s="7"/>
      <c r="CR761" s="6"/>
      <c r="CS761" s="7"/>
      <c r="CT761" s="8">
        <f t="shared" si="197"/>
        <v>0</v>
      </c>
      <c r="CU761" s="9"/>
      <c r="CV761" s="10"/>
      <c r="CW761" s="11"/>
      <c r="CX761" s="12"/>
      <c r="CY761" s="26"/>
      <c r="CZ761" s="12"/>
      <c r="DA761" s="9"/>
      <c r="DB761" s="10"/>
      <c r="DC761" s="64"/>
      <c r="DD761" s="22"/>
    </row>
    <row r="762" spans="1:108" s="119" customFormat="1" ht="84" outlineLevel="2">
      <c r="A762" s="178">
        <v>40369</v>
      </c>
      <c r="B762" s="82" t="s">
        <v>952</v>
      </c>
      <c r="C762" s="82" t="s">
        <v>1225</v>
      </c>
      <c r="D762" s="165" t="s">
        <v>435</v>
      </c>
      <c r="E762" s="167"/>
      <c r="F762" s="66"/>
      <c r="G762" s="66"/>
      <c r="H762" s="66">
        <v>509</v>
      </c>
      <c r="I762" s="66">
        <v>100</v>
      </c>
      <c r="J762" s="66"/>
      <c r="K762" s="66">
        <v>100</v>
      </c>
      <c r="L762" s="66">
        <v>1</v>
      </c>
      <c r="M762" s="66"/>
      <c r="N762" s="66"/>
      <c r="O762" s="66">
        <v>1</v>
      </c>
      <c r="P762" s="66"/>
      <c r="Q762" s="66">
        <v>1</v>
      </c>
      <c r="R762" s="66">
        <v>1</v>
      </c>
      <c r="S762" s="66"/>
      <c r="T762" s="67"/>
      <c r="U762" s="151"/>
      <c r="V762" s="1"/>
      <c r="W762" s="68">
        <f t="shared" si="192"/>
        <v>0</v>
      </c>
      <c r="X762" s="68">
        <f t="shared" si="193"/>
        <v>0</v>
      </c>
      <c r="Y762" s="68">
        <f t="shared" si="194"/>
        <v>0</v>
      </c>
      <c r="Z762" s="68">
        <f t="shared" si="195"/>
        <v>0</v>
      </c>
      <c r="AA762" s="68"/>
      <c r="AB762" s="68">
        <v>0</v>
      </c>
      <c r="AC762" s="69">
        <f t="shared" si="196"/>
        <v>0</v>
      </c>
      <c r="AD762" s="70">
        <v>0</v>
      </c>
      <c r="AE762" s="63">
        <v>40371</v>
      </c>
      <c r="AF762" s="72"/>
      <c r="AG762" s="63" t="s">
        <v>938</v>
      </c>
      <c r="AH762" s="23" t="s">
        <v>939</v>
      </c>
      <c r="AI762" s="60"/>
      <c r="AJ762" s="133" t="s">
        <v>1608</v>
      </c>
      <c r="AK762" s="73" t="s">
        <v>1467</v>
      </c>
      <c r="AL762" s="3"/>
      <c r="AM762" s="4"/>
      <c r="AN762" s="5"/>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6"/>
      <c r="CO762" s="7"/>
      <c r="CP762" s="6"/>
      <c r="CQ762" s="7"/>
      <c r="CR762" s="6"/>
      <c r="CS762" s="7"/>
      <c r="CT762" s="8">
        <f t="shared" si="197"/>
        <v>0</v>
      </c>
      <c r="CU762" s="9"/>
      <c r="CV762" s="10"/>
      <c r="CW762" s="11"/>
      <c r="CX762" s="12"/>
      <c r="CY762" s="26"/>
      <c r="CZ762" s="12"/>
      <c r="DA762" s="9"/>
      <c r="DB762" s="10"/>
      <c r="DC762" s="64"/>
      <c r="DD762" s="22"/>
    </row>
    <row r="763" spans="1:108" s="119" customFormat="1" outlineLevel="2">
      <c r="A763" s="178">
        <v>40374</v>
      </c>
      <c r="B763" s="82" t="s">
        <v>952</v>
      </c>
      <c r="C763" s="82" t="s">
        <v>2363</v>
      </c>
      <c r="D763" s="165" t="s">
        <v>1182</v>
      </c>
      <c r="E763" s="167"/>
      <c r="F763" s="66"/>
      <c r="G763" s="66"/>
      <c r="H763" s="66"/>
      <c r="I763" s="66"/>
      <c r="J763" s="66"/>
      <c r="K763" s="66"/>
      <c r="L763" s="66">
        <v>1</v>
      </c>
      <c r="M763" s="66"/>
      <c r="N763" s="66"/>
      <c r="O763" s="66"/>
      <c r="P763" s="66"/>
      <c r="Q763" s="66"/>
      <c r="R763" s="66"/>
      <c r="S763" s="66"/>
      <c r="T763" s="67"/>
      <c r="U763" s="151"/>
      <c r="V763" s="1"/>
      <c r="W763" s="68">
        <f t="shared" si="192"/>
        <v>0</v>
      </c>
      <c r="X763" s="68">
        <f t="shared" si="193"/>
        <v>0</v>
      </c>
      <c r="Y763" s="68">
        <f t="shared" si="194"/>
        <v>0</v>
      </c>
      <c r="Z763" s="68">
        <f t="shared" si="195"/>
        <v>0</v>
      </c>
      <c r="AA763" s="68"/>
      <c r="AB763" s="68">
        <v>0</v>
      </c>
      <c r="AC763" s="69">
        <f t="shared" si="196"/>
        <v>0</v>
      </c>
      <c r="AD763" s="70">
        <v>0</v>
      </c>
      <c r="AE763" s="63">
        <v>40377</v>
      </c>
      <c r="AF763" s="72"/>
      <c r="AG763" s="63" t="s">
        <v>938</v>
      </c>
      <c r="AH763" s="23" t="s">
        <v>939</v>
      </c>
      <c r="AI763" s="60"/>
      <c r="AJ763" s="133" t="s">
        <v>1608</v>
      </c>
      <c r="AK763" s="73" t="s">
        <v>2364</v>
      </c>
      <c r="AL763" s="3"/>
      <c r="AM763" s="4"/>
      <c r="AN763" s="5"/>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6"/>
      <c r="CO763" s="7"/>
      <c r="CP763" s="6"/>
      <c r="CQ763" s="7"/>
      <c r="CR763" s="6"/>
      <c r="CS763" s="7"/>
      <c r="CT763" s="8">
        <f t="shared" si="197"/>
        <v>0</v>
      </c>
      <c r="CU763" s="9"/>
      <c r="CV763" s="10"/>
      <c r="CW763" s="11"/>
      <c r="CX763" s="12"/>
      <c r="CY763" s="26"/>
      <c r="CZ763" s="12"/>
      <c r="DA763" s="9"/>
      <c r="DB763" s="10"/>
      <c r="DC763" s="64"/>
      <c r="DD763" s="22"/>
    </row>
    <row r="764" spans="1:108" s="119" customFormat="1" outlineLevel="2">
      <c r="A764" s="178">
        <v>40377</v>
      </c>
      <c r="B764" s="82" t="s">
        <v>952</v>
      </c>
      <c r="C764" s="82" t="s">
        <v>1605</v>
      </c>
      <c r="D764" s="165" t="s">
        <v>1262</v>
      </c>
      <c r="E764" s="167"/>
      <c r="F764" s="66"/>
      <c r="G764" s="66"/>
      <c r="H764" s="66"/>
      <c r="I764" s="66"/>
      <c r="J764" s="66"/>
      <c r="K764" s="66"/>
      <c r="L764" s="66"/>
      <c r="M764" s="66"/>
      <c r="N764" s="66"/>
      <c r="O764" s="66"/>
      <c r="P764" s="66"/>
      <c r="Q764" s="66"/>
      <c r="R764" s="66"/>
      <c r="S764" s="66"/>
      <c r="T764" s="67"/>
      <c r="U764" s="151"/>
      <c r="V764" s="1"/>
      <c r="W764" s="68">
        <f t="shared" si="192"/>
        <v>0</v>
      </c>
      <c r="X764" s="68">
        <f t="shared" si="193"/>
        <v>0</v>
      </c>
      <c r="Y764" s="68">
        <f t="shared" si="194"/>
        <v>0</v>
      </c>
      <c r="Z764" s="68">
        <f t="shared" si="195"/>
        <v>0</v>
      </c>
      <c r="AA764" s="68"/>
      <c r="AB764" s="68">
        <v>0</v>
      </c>
      <c r="AC764" s="69">
        <f t="shared" si="196"/>
        <v>0</v>
      </c>
      <c r="AD764" s="70">
        <v>0</v>
      </c>
      <c r="AE764" s="63">
        <v>40378</v>
      </c>
      <c r="AF764" s="72"/>
      <c r="AG764" s="63" t="s">
        <v>938</v>
      </c>
      <c r="AH764" s="23" t="s">
        <v>939</v>
      </c>
      <c r="AI764" s="60"/>
      <c r="AJ764" s="133" t="s">
        <v>1608</v>
      </c>
      <c r="AK764" s="73" t="s">
        <v>1606</v>
      </c>
      <c r="AL764" s="3"/>
      <c r="AM764" s="4"/>
      <c r="AN764" s="5"/>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6"/>
      <c r="CO764" s="7"/>
      <c r="CP764" s="6"/>
      <c r="CQ764" s="7"/>
      <c r="CR764" s="6"/>
      <c r="CS764" s="7"/>
      <c r="CT764" s="8">
        <f t="shared" si="197"/>
        <v>0</v>
      </c>
      <c r="CU764" s="9"/>
      <c r="CV764" s="10"/>
      <c r="CW764" s="11"/>
      <c r="CX764" s="12"/>
      <c r="CY764" s="26"/>
      <c r="CZ764" s="12"/>
      <c r="DA764" s="9"/>
      <c r="DB764" s="10"/>
      <c r="DC764" s="64"/>
      <c r="DD764" s="22"/>
    </row>
    <row r="765" spans="1:108" s="119" customFormat="1" outlineLevel="2">
      <c r="A765" s="178">
        <v>40377</v>
      </c>
      <c r="B765" s="82" t="s">
        <v>952</v>
      </c>
      <c r="C765" s="82" t="s">
        <v>1222</v>
      </c>
      <c r="D765" s="165" t="s">
        <v>1262</v>
      </c>
      <c r="E765" s="167"/>
      <c r="F765" s="66"/>
      <c r="G765" s="66"/>
      <c r="H765" s="66"/>
      <c r="I765" s="66"/>
      <c r="J765" s="66"/>
      <c r="K765" s="66"/>
      <c r="L765" s="66">
        <v>1</v>
      </c>
      <c r="M765" s="66"/>
      <c r="N765" s="66"/>
      <c r="O765" s="66"/>
      <c r="P765" s="66"/>
      <c r="Q765" s="66"/>
      <c r="R765" s="66"/>
      <c r="S765" s="66"/>
      <c r="T765" s="67"/>
      <c r="U765" s="151"/>
      <c r="V765" s="1"/>
      <c r="W765" s="68">
        <f t="shared" si="192"/>
        <v>0</v>
      </c>
      <c r="X765" s="68">
        <f t="shared" si="193"/>
        <v>0</v>
      </c>
      <c r="Y765" s="68">
        <f t="shared" si="194"/>
        <v>0</v>
      </c>
      <c r="Z765" s="68">
        <f t="shared" si="195"/>
        <v>0</v>
      </c>
      <c r="AA765" s="68"/>
      <c r="AB765" s="68">
        <v>0</v>
      </c>
      <c r="AC765" s="69">
        <f t="shared" si="196"/>
        <v>0</v>
      </c>
      <c r="AD765" s="70">
        <v>0</v>
      </c>
      <c r="AE765" s="63">
        <v>40378</v>
      </c>
      <c r="AF765" s="72"/>
      <c r="AG765" s="63" t="s">
        <v>938</v>
      </c>
      <c r="AH765" s="23" t="s">
        <v>939</v>
      </c>
      <c r="AI765" s="60"/>
      <c r="AJ765" s="133" t="s">
        <v>1608</v>
      </c>
      <c r="AK765" s="73" t="s">
        <v>1604</v>
      </c>
      <c r="AL765" s="3"/>
      <c r="AM765" s="4"/>
      <c r="AN765" s="5"/>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6"/>
      <c r="CO765" s="7"/>
      <c r="CP765" s="6"/>
      <c r="CQ765" s="7"/>
      <c r="CR765" s="6"/>
      <c r="CS765" s="7"/>
      <c r="CT765" s="8">
        <f t="shared" si="197"/>
        <v>0</v>
      </c>
      <c r="CU765" s="9"/>
      <c r="CV765" s="10"/>
      <c r="CW765" s="11"/>
      <c r="CX765" s="12"/>
      <c r="CY765" s="26"/>
      <c r="CZ765" s="12"/>
      <c r="DA765" s="9"/>
      <c r="DB765" s="10"/>
      <c r="DC765" s="64"/>
      <c r="DD765" s="22"/>
    </row>
    <row r="766" spans="1:108" s="119" customFormat="1" ht="24" outlineLevel="2">
      <c r="A766" s="178">
        <v>40378</v>
      </c>
      <c r="B766" s="82" t="s">
        <v>952</v>
      </c>
      <c r="C766" s="82" t="s">
        <v>1060</v>
      </c>
      <c r="D766" s="165" t="s">
        <v>1182</v>
      </c>
      <c r="E766" s="167"/>
      <c r="F766" s="66"/>
      <c r="G766" s="66"/>
      <c r="H766" s="66"/>
      <c r="I766" s="66"/>
      <c r="J766" s="66"/>
      <c r="K766" s="66"/>
      <c r="L766" s="66">
        <v>1</v>
      </c>
      <c r="M766" s="66"/>
      <c r="N766" s="66"/>
      <c r="O766" s="66"/>
      <c r="P766" s="66"/>
      <c r="Q766" s="66"/>
      <c r="R766" s="66"/>
      <c r="S766" s="66"/>
      <c r="T766" s="67"/>
      <c r="U766" s="151"/>
      <c r="V766" s="1"/>
      <c r="W766" s="68">
        <f t="shared" si="192"/>
        <v>0</v>
      </c>
      <c r="X766" s="68">
        <f t="shared" si="193"/>
        <v>0</v>
      </c>
      <c r="Y766" s="68">
        <f t="shared" si="194"/>
        <v>0</v>
      </c>
      <c r="Z766" s="68">
        <f t="shared" si="195"/>
        <v>0</v>
      </c>
      <c r="AA766" s="68"/>
      <c r="AB766" s="68">
        <v>0</v>
      </c>
      <c r="AC766" s="69">
        <f t="shared" si="196"/>
        <v>0</v>
      </c>
      <c r="AD766" s="70">
        <v>0</v>
      </c>
      <c r="AE766" s="63">
        <v>40379</v>
      </c>
      <c r="AF766" s="72"/>
      <c r="AG766" s="63" t="s">
        <v>938</v>
      </c>
      <c r="AH766" s="23" t="s">
        <v>939</v>
      </c>
      <c r="AI766" s="60"/>
      <c r="AJ766" s="133" t="s">
        <v>1608</v>
      </c>
      <c r="AK766" s="73" t="s">
        <v>1061</v>
      </c>
      <c r="AL766" s="3"/>
      <c r="AM766" s="4"/>
      <c r="AN766" s="5"/>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6"/>
      <c r="CO766" s="7"/>
      <c r="CP766" s="6"/>
      <c r="CQ766" s="7"/>
      <c r="CR766" s="6"/>
      <c r="CS766" s="7"/>
      <c r="CT766" s="8">
        <f t="shared" si="197"/>
        <v>0</v>
      </c>
      <c r="CU766" s="9"/>
      <c r="CV766" s="10"/>
      <c r="CW766" s="11"/>
      <c r="CX766" s="12"/>
      <c r="CY766" s="26"/>
      <c r="CZ766" s="12"/>
      <c r="DA766" s="9"/>
      <c r="DB766" s="10"/>
      <c r="DC766" s="64"/>
      <c r="DD766" s="22"/>
    </row>
    <row r="767" spans="1:108" s="119" customFormat="1" ht="24" outlineLevel="2">
      <c r="A767" s="178">
        <v>40405</v>
      </c>
      <c r="B767" s="82" t="s">
        <v>952</v>
      </c>
      <c r="C767" s="82" t="s">
        <v>1547</v>
      </c>
      <c r="D767" s="165" t="s">
        <v>1262</v>
      </c>
      <c r="E767" s="167">
        <v>1</v>
      </c>
      <c r="F767" s="66"/>
      <c r="G767" s="66"/>
      <c r="H767" s="66"/>
      <c r="I767" s="66"/>
      <c r="J767" s="66"/>
      <c r="K767" s="66"/>
      <c r="L767" s="66"/>
      <c r="M767" s="66"/>
      <c r="N767" s="66"/>
      <c r="O767" s="66"/>
      <c r="P767" s="66"/>
      <c r="Q767" s="66"/>
      <c r="R767" s="66"/>
      <c r="S767" s="66"/>
      <c r="T767" s="67"/>
      <c r="U767" s="151"/>
      <c r="V767" s="1"/>
      <c r="W767" s="68">
        <f t="shared" si="192"/>
        <v>0</v>
      </c>
      <c r="X767" s="68">
        <f t="shared" si="193"/>
        <v>0</v>
      </c>
      <c r="Y767" s="68">
        <f t="shared" si="194"/>
        <v>0</v>
      </c>
      <c r="Z767" s="68">
        <f t="shared" si="195"/>
        <v>0</v>
      </c>
      <c r="AA767" s="68"/>
      <c r="AB767" s="68">
        <v>0</v>
      </c>
      <c r="AC767" s="69">
        <f t="shared" si="196"/>
        <v>0</v>
      </c>
      <c r="AD767" s="70">
        <v>0</v>
      </c>
      <c r="AE767" s="63">
        <v>40408</v>
      </c>
      <c r="AF767" s="72"/>
      <c r="AG767" s="63" t="s">
        <v>938</v>
      </c>
      <c r="AH767" s="23" t="s">
        <v>939</v>
      </c>
      <c r="AI767" s="60"/>
      <c r="AJ767" s="133" t="s">
        <v>1608</v>
      </c>
      <c r="AK767" s="73" t="s">
        <v>1548</v>
      </c>
      <c r="AL767" s="3"/>
      <c r="AM767" s="4"/>
      <c r="AN767" s="5"/>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6"/>
      <c r="CO767" s="7"/>
      <c r="CP767" s="6"/>
      <c r="CQ767" s="7"/>
      <c r="CR767" s="6"/>
      <c r="CS767" s="7"/>
      <c r="CT767" s="8">
        <f t="shared" si="197"/>
        <v>0</v>
      </c>
      <c r="CU767" s="9"/>
      <c r="CV767" s="10"/>
      <c r="CW767" s="11"/>
      <c r="CX767" s="12"/>
      <c r="CY767" s="26"/>
      <c r="CZ767" s="12"/>
      <c r="DA767" s="9"/>
      <c r="DB767" s="10"/>
      <c r="DC767" s="64"/>
      <c r="DD767" s="22"/>
    </row>
    <row r="768" spans="1:108" s="119" customFormat="1" outlineLevel="2">
      <c r="A768" s="178">
        <v>40408</v>
      </c>
      <c r="B768" s="174" t="s">
        <v>952</v>
      </c>
      <c r="C768" s="174" t="s">
        <v>1662</v>
      </c>
      <c r="D768" s="165" t="s">
        <v>1182</v>
      </c>
      <c r="E768" s="163"/>
      <c r="F768" s="105"/>
      <c r="G768" s="105"/>
      <c r="H768" s="105">
        <v>4</v>
      </c>
      <c r="I768" s="105">
        <v>2</v>
      </c>
      <c r="J768" s="105"/>
      <c r="K768" s="105">
        <v>2</v>
      </c>
      <c r="L768" s="105"/>
      <c r="M768" s="105"/>
      <c r="N768" s="105"/>
      <c r="O768" s="105"/>
      <c r="P768" s="105"/>
      <c r="Q768" s="105"/>
      <c r="R768" s="105"/>
      <c r="S768" s="105"/>
      <c r="T768" s="106"/>
      <c r="U768" s="130"/>
      <c r="V768" s="1"/>
      <c r="W768" s="68">
        <f t="shared" si="192"/>
        <v>0</v>
      </c>
      <c r="X768" s="68">
        <f t="shared" si="193"/>
        <v>0</v>
      </c>
      <c r="Y768" s="68">
        <f t="shared" si="194"/>
        <v>0</v>
      </c>
      <c r="Z768" s="68">
        <f t="shared" si="195"/>
        <v>0</v>
      </c>
      <c r="AA768" s="68"/>
      <c r="AB768" s="68">
        <v>0</v>
      </c>
      <c r="AC768" s="69">
        <f t="shared" si="196"/>
        <v>0</v>
      </c>
      <c r="AD768" s="70">
        <v>0</v>
      </c>
      <c r="AE768" s="63">
        <v>40428</v>
      </c>
      <c r="AF768" s="72"/>
      <c r="AG768" s="63" t="s">
        <v>938</v>
      </c>
      <c r="AH768" s="23" t="s">
        <v>939</v>
      </c>
      <c r="AI768" s="60"/>
      <c r="AJ768" s="124" t="s">
        <v>1608</v>
      </c>
      <c r="AK768" s="121" t="s">
        <v>1732</v>
      </c>
      <c r="AL768" s="107"/>
      <c r="AM768" s="108"/>
      <c r="AN768" s="109"/>
      <c r="AO768" s="108"/>
      <c r="AP768" s="108"/>
      <c r="AQ768" s="108"/>
      <c r="AR768" s="108"/>
      <c r="AS768" s="108"/>
      <c r="AT768" s="108"/>
      <c r="AU768" s="108"/>
      <c r="AV768" s="108"/>
      <c r="AW768" s="108"/>
      <c r="AX768" s="108"/>
      <c r="AY768" s="108"/>
      <c r="AZ768" s="108"/>
      <c r="BA768" s="108"/>
      <c r="BB768" s="108"/>
      <c r="BC768" s="108"/>
      <c r="BD768" s="108"/>
      <c r="BE768" s="108"/>
      <c r="BF768" s="108"/>
      <c r="BG768" s="108"/>
      <c r="BH768" s="108"/>
      <c r="BI768" s="108"/>
      <c r="BJ768" s="108"/>
      <c r="BK768" s="108"/>
      <c r="BL768" s="108"/>
      <c r="BM768" s="108"/>
      <c r="BN768" s="108"/>
      <c r="BO768" s="108"/>
      <c r="BP768" s="108"/>
      <c r="BQ768" s="108"/>
      <c r="BR768" s="108"/>
      <c r="BS768" s="108"/>
      <c r="BT768" s="108"/>
      <c r="BU768" s="108"/>
      <c r="BV768" s="108"/>
      <c r="BW768" s="108"/>
      <c r="BX768" s="108"/>
      <c r="BY768" s="108"/>
      <c r="BZ768" s="108"/>
      <c r="CA768" s="108"/>
      <c r="CB768" s="108"/>
      <c r="CC768" s="108"/>
      <c r="CD768" s="108"/>
      <c r="CE768" s="108"/>
      <c r="CF768" s="108"/>
      <c r="CG768" s="108"/>
      <c r="CH768" s="108"/>
      <c r="CI768" s="108"/>
      <c r="CJ768" s="108"/>
      <c r="CK768" s="108"/>
      <c r="CL768" s="108"/>
      <c r="CM768" s="108"/>
      <c r="CN768" s="110"/>
      <c r="CO768" s="111"/>
      <c r="CP768" s="110"/>
      <c r="CQ768" s="111"/>
      <c r="CR768" s="110"/>
      <c r="CS768" s="111"/>
      <c r="CT768" s="112">
        <f t="shared" si="197"/>
        <v>0</v>
      </c>
      <c r="CU768" s="113"/>
      <c r="CV768" s="114"/>
      <c r="CW768" s="115"/>
      <c r="CX768" s="116"/>
      <c r="CY768" s="117"/>
      <c r="CZ768" s="116"/>
      <c r="DA768" s="113"/>
      <c r="DB768" s="114"/>
      <c r="DC768" s="64"/>
      <c r="DD768" s="118"/>
    </row>
    <row r="769" spans="1:108" s="119" customFormat="1" ht="36" outlineLevel="2">
      <c r="A769" s="178">
        <v>40450</v>
      </c>
      <c r="B769" s="164" t="s">
        <v>952</v>
      </c>
      <c r="C769" s="164" t="s">
        <v>1950</v>
      </c>
      <c r="D769" s="166" t="s">
        <v>1262</v>
      </c>
      <c r="E769" s="163"/>
      <c r="F769" s="105"/>
      <c r="G769" s="105"/>
      <c r="H769" s="105">
        <v>102</v>
      </c>
      <c r="I769" s="105">
        <v>20</v>
      </c>
      <c r="J769" s="105"/>
      <c r="K769" s="105">
        <v>20</v>
      </c>
      <c r="L769" s="105"/>
      <c r="M769" s="105"/>
      <c r="N769" s="105"/>
      <c r="O769" s="105"/>
      <c r="P769" s="105"/>
      <c r="Q769" s="105"/>
      <c r="R769" s="105"/>
      <c r="S769" s="105"/>
      <c r="T769" s="106"/>
      <c r="U769" s="130"/>
      <c r="V769" s="1"/>
      <c r="W769" s="68">
        <f t="shared" si="192"/>
        <v>0</v>
      </c>
      <c r="X769" s="68">
        <f t="shared" si="193"/>
        <v>0</v>
      </c>
      <c r="Y769" s="68">
        <f t="shared" si="194"/>
        <v>0</v>
      </c>
      <c r="Z769" s="68">
        <f t="shared" si="195"/>
        <v>0</v>
      </c>
      <c r="AA769" s="68"/>
      <c r="AB769" s="68">
        <v>0</v>
      </c>
      <c r="AC769" s="69">
        <f t="shared" si="196"/>
        <v>0</v>
      </c>
      <c r="AD769" s="70">
        <v>0</v>
      </c>
      <c r="AE769" s="63">
        <v>40455</v>
      </c>
      <c r="AF769" s="72"/>
      <c r="AG769" s="63" t="s">
        <v>938</v>
      </c>
      <c r="AH769" s="23" t="s">
        <v>939</v>
      </c>
      <c r="AI769" s="60"/>
      <c r="AJ769" s="124" t="s">
        <v>1608</v>
      </c>
      <c r="AK769" s="121" t="s">
        <v>781</v>
      </c>
      <c r="AL769" s="107"/>
      <c r="AM769" s="108"/>
      <c r="AN769" s="109"/>
      <c r="AO769" s="108"/>
      <c r="AP769" s="108"/>
      <c r="AQ769" s="108"/>
      <c r="AR769" s="108"/>
      <c r="AS769" s="108"/>
      <c r="AT769" s="108"/>
      <c r="AU769" s="108"/>
      <c r="AV769" s="108"/>
      <c r="AW769" s="108"/>
      <c r="AX769" s="108"/>
      <c r="AY769" s="108"/>
      <c r="AZ769" s="108"/>
      <c r="BA769" s="108"/>
      <c r="BB769" s="108"/>
      <c r="BC769" s="108"/>
      <c r="BD769" s="108"/>
      <c r="BE769" s="108"/>
      <c r="BF769" s="108"/>
      <c r="BG769" s="108"/>
      <c r="BH769" s="108"/>
      <c r="BI769" s="108"/>
      <c r="BJ769" s="108"/>
      <c r="BK769" s="108"/>
      <c r="BL769" s="108"/>
      <c r="BM769" s="108"/>
      <c r="BN769" s="108"/>
      <c r="BO769" s="108"/>
      <c r="BP769" s="108"/>
      <c r="BQ769" s="108"/>
      <c r="BR769" s="108"/>
      <c r="BS769" s="108"/>
      <c r="BT769" s="108"/>
      <c r="BU769" s="108"/>
      <c r="BV769" s="108"/>
      <c r="BW769" s="108"/>
      <c r="BX769" s="108"/>
      <c r="BY769" s="108"/>
      <c r="BZ769" s="108"/>
      <c r="CA769" s="108"/>
      <c r="CB769" s="108"/>
      <c r="CC769" s="108"/>
      <c r="CD769" s="108"/>
      <c r="CE769" s="108"/>
      <c r="CF769" s="108"/>
      <c r="CG769" s="108"/>
      <c r="CH769" s="108"/>
      <c r="CI769" s="108"/>
      <c r="CJ769" s="108"/>
      <c r="CK769" s="108"/>
      <c r="CL769" s="108"/>
      <c r="CM769" s="108"/>
      <c r="CN769" s="110"/>
      <c r="CO769" s="111"/>
      <c r="CP769" s="110"/>
      <c r="CQ769" s="111"/>
      <c r="CR769" s="110"/>
      <c r="CS769" s="111"/>
      <c r="CT769" s="112">
        <f t="shared" si="197"/>
        <v>0</v>
      </c>
      <c r="CU769" s="113"/>
      <c r="CV769" s="114"/>
      <c r="CW769" s="115"/>
      <c r="CX769" s="116"/>
      <c r="CY769" s="117"/>
      <c r="CZ769" s="116"/>
      <c r="DA769" s="113"/>
      <c r="DB769" s="114"/>
      <c r="DC769" s="64"/>
      <c r="DD769" s="118"/>
    </row>
    <row r="770" spans="1:108" s="119" customFormat="1" ht="24" outlineLevel="2">
      <c r="A770" s="178">
        <v>40452</v>
      </c>
      <c r="B770" s="164" t="s">
        <v>952</v>
      </c>
      <c r="C770" s="164" t="s">
        <v>1909</v>
      </c>
      <c r="D770" s="166" t="s">
        <v>1937</v>
      </c>
      <c r="E770" s="163"/>
      <c r="F770" s="105"/>
      <c r="G770" s="105"/>
      <c r="H770" s="105">
        <v>157</v>
      </c>
      <c r="I770" s="105">
        <v>27</v>
      </c>
      <c r="J770" s="105"/>
      <c r="K770" s="105">
        <v>27</v>
      </c>
      <c r="L770" s="105"/>
      <c r="M770" s="105"/>
      <c r="N770" s="105"/>
      <c r="O770" s="105"/>
      <c r="P770" s="105"/>
      <c r="Q770" s="105"/>
      <c r="R770" s="105"/>
      <c r="S770" s="105"/>
      <c r="T770" s="106"/>
      <c r="U770" s="130"/>
      <c r="V770" s="1"/>
      <c r="W770" s="68">
        <f t="shared" si="192"/>
        <v>0</v>
      </c>
      <c r="X770" s="68">
        <f t="shared" si="193"/>
        <v>0</v>
      </c>
      <c r="Y770" s="68">
        <f t="shared" si="194"/>
        <v>0</v>
      </c>
      <c r="Z770" s="68">
        <f t="shared" si="195"/>
        <v>0</v>
      </c>
      <c r="AA770" s="68"/>
      <c r="AB770" s="68">
        <v>0</v>
      </c>
      <c r="AC770" s="69">
        <f t="shared" si="196"/>
        <v>0</v>
      </c>
      <c r="AD770" s="70">
        <v>0</v>
      </c>
      <c r="AE770" s="63">
        <v>40455</v>
      </c>
      <c r="AF770" s="72"/>
      <c r="AG770" s="63" t="s">
        <v>938</v>
      </c>
      <c r="AH770" s="23" t="s">
        <v>939</v>
      </c>
      <c r="AI770" s="60"/>
      <c r="AJ770" s="124" t="s">
        <v>1608</v>
      </c>
      <c r="AK770" s="121" t="s">
        <v>771</v>
      </c>
      <c r="AL770" s="107"/>
      <c r="AM770" s="108"/>
      <c r="AN770" s="109"/>
      <c r="AO770" s="108"/>
      <c r="AP770" s="108"/>
      <c r="AQ770" s="108"/>
      <c r="AR770" s="108"/>
      <c r="AS770" s="108"/>
      <c r="AT770" s="108"/>
      <c r="AU770" s="108"/>
      <c r="AV770" s="108"/>
      <c r="AW770" s="108"/>
      <c r="AX770" s="108"/>
      <c r="AY770" s="108"/>
      <c r="AZ770" s="108"/>
      <c r="BA770" s="108"/>
      <c r="BB770" s="108"/>
      <c r="BC770" s="108"/>
      <c r="BD770" s="108"/>
      <c r="BE770" s="108"/>
      <c r="BF770" s="108"/>
      <c r="BG770" s="108"/>
      <c r="BH770" s="108"/>
      <c r="BI770" s="108"/>
      <c r="BJ770" s="108"/>
      <c r="BK770" s="108"/>
      <c r="BL770" s="108"/>
      <c r="BM770" s="108"/>
      <c r="BN770" s="108"/>
      <c r="BO770" s="108"/>
      <c r="BP770" s="108"/>
      <c r="BQ770" s="108"/>
      <c r="BR770" s="108"/>
      <c r="BS770" s="108"/>
      <c r="BT770" s="108"/>
      <c r="BU770" s="108"/>
      <c r="BV770" s="108"/>
      <c r="BW770" s="108"/>
      <c r="BX770" s="108"/>
      <c r="BY770" s="108"/>
      <c r="BZ770" s="108"/>
      <c r="CA770" s="108"/>
      <c r="CB770" s="108"/>
      <c r="CC770" s="108"/>
      <c r="CD770" s="108"/>
      <c r="CE770" s="108"/>
      <c r="CF770" s="108"/>
      <c r="CG770" s="108"/>
      <c r="CH770" s="108"/>
      <c r="CI770" s="108"/>
      <c r="CJ770" s="108"/>
      <c r="CK770" s="108"/>
      <c r="CL770" s="108"/>
      <c r="CM770" s="108"/>
      <c r="CN770" s="110"/>
      <c r="CO770" s="111"/>
      <c r="CP770" s="110"/>
      <c r="CQ770" s="111"/>
      <c r="CR770" s="110"/>
      <c r="CS770" s="111"/>
      <c r="CT770" s="112">
        <f t="shared" si="197"/>
        <v>0</v>
      </c>
      <c r="CU770" s="113"/>
      <c r="CV770" s="114"/>
      <c r="CW770" s="115"/>
      <c r="CX770" s="116"/>
      <c r="CY770" s="117"/>
      <c r="CZ770" s="116"/>
      <c r="DA770" s="113"/>
      <c r="DB770" s="114"/>
      <c r="DC770" s="64"/>
      <c r="DD770" s="118"/>
    </row>
    <row r="771" spans="1:108" s="119" customFormat="1" ht="24" outlineLevel="2">
      <c r="A771" s="178">
        <v>40452</v>
      </c>
      <c r="B771" s="164" t="s">
        <v>952</v>
      </c>
      <c r="C771" s="164" t="s">
        <v>779</v>
      </c>
      <c r="D771" s="166" t="s">
        <v>1262</v>
      </c>
      <c r="E771" s="163"/>
      <c r="F771" s="105"/>
      <c r="G771" s="105"/>
      <c r="H771" s="105">
        <v>5</v>
      </c>
      <c r="I771" s="105">
        <v>1</v>
      </c>
      <c r="J771" s="105"/>
      <c r="K771" s="105">
        <v>1</v>
      </c>
      <c r="L771" s="105"/>
      <c r="M771" s="105"/>
      <c r="N771" s="105"/>
      <c r="O771" s="105"/>
      <c r="P771" s="105"/>
      <c r="Q771" s="105"/>
      <c r="R771" s="105"/>
      <c r="S771" s="105"/>
      <c r="T771" s="106"/>
      <c r="U771" s="130"/>
      <c r="V771" s="1"/>
      <c r="W771" s="68">
        <f t="shared" si="192"/>
        <v>0</v>
      </c>
      <c r="X771" s="68">
        <f t="shared" si="193"/>
        <v>0</v>
      </c>
      <c r="Y771" s="68">
        <f t="shared" si="194"/>
        <v>0</v>
      </c>
      <c r="Z771" s="68">
        <f t="shared" si="195"/>
        <v>0</v>
      </c>
      <c r="AA771" s="68"/>
      <c r="AB771" s="68">
        <v>0</v>
      </c>
      <c r="AC771" s="69">
        <f t="shared" si="196"/>
        <v>0</v>
      </c>
      <c r="AD771" s="70">
        <v>0</v>
      </c>
      <c r="AE771" s="63">
        <v>40455</v>
      </c>
      <c r="AF771" s="72"/>
      <c r="AG771" s="63" t="s">
        <v>938</v>
      </c>
      <c r="AH771" s="23" t="s">
        <v>939</v>
      </c>
      <c r="AI771" s="60"/>
      <c r="AJ771" s="124" t="s">
        <v>1608</v>
      </c>
      <c r="AK771" s="121" t="s">
        <v>780</v>
      </c>
      <c r="AL771" s="107"/>
      <c r="AM771" s="108"/>
      <c r="AN771" s="109"/>
      <c r="AO771" s="108"/>
      <c r="AP771" s="108"/>
      <c r="AQ771" s="108"/>
      <c r="AR771" s="108"/>
      <c r="AS771" s="108"/>
      <c r="AT771" s="108"/>
      <c r="AU771" s="108"/>
      <c r="AV771" s="108"/>
      <c r="AW771" s="108"/>
      <c r="AX771" s="108"/>
      <c r="AY771" s="108"/>
      <c r="AZ771" s="108"/>
      <c r="BA771" s="108"/>
      <c r="BB771" s="108"/>
      <c r="BC771" s="108"/>
      <c r="BD771" s="108"/>
      <c r="BE771" s="108"/>
      <c r="BF771" s="108"/>
      <c r="BG771" s="108"/>
      <c r="BH771" s="108"/>
      <c r="BI771" s="108"/>
      <c r="BJ771" s="108"/>
      <c r="BK771" s="108"/>
      <c r="BL771" s="108"/>
      <c r="BM771" s="108"/>
      <c r="BN771" s="108"/>
      <c r="BO771" s="108"/>
      <c r="BP771" s="108"/>
      <c r="BQ771" s="108"/>
      <c r="BR771" s="108"/>
      <c r="BS771" s="108"/>
      <c r="BT771" s="108"/>
      <c r="BU771" s="108"/>
      <c r="BV771" s="108"/>
      <c r="BW771" s="108"/>
      <c r="BX771" s="108"/>
      <c r="BY771" s="108"/>
      <c r="BZ771" s="108"/>
      <c r="CA771" s="108"/>
      <c r="CB771" s="108"/>
      <c r="CC771" s="108"/>
      <c r="CD771" s="108"/>
      <c r="CE771" s="108"/>
      <c r="CF771" s="108"/>
      <c r="CG771" s="108"/>
      <c r="CH771" s="108"/>
      <c r="CI771" s="108"/>
      <c r="CJ771" s="108"/>
      <c r="CK771" s="108"/>
      <c r="CL771" s="108"/>
      <c r="CM771" s="108"/>
      <c r="CN771" s="110"/>
      <c r="CO771" s="111"/>
      <c r="CP771" s="110"/>
      <c r="CQ771" s="111"/>
      <c r="CR771" s="110"/>
      <c r="CS771" s="111"/>
      <c r="CT771" s="112">
        <f t="shared" si="197"/>
        <v>0</v>
      </c>
      <c r="CU771" s="113"/>
      <c r="CV771" s="114"/>
      <c r="CW771" s="115"/>
      <c r="CX771" s="116"/>
      <c r="CY771" s="117"/>
      <c r="CZ771" s="116"/>
      <c r="DA771" s="113"/>
      <c r="DB771" s="114"/>
      <c r="DC771" s="64"/>
      <c r="DD771" s="118"/>
    </row>
    <row r="772" spans="1:108" s="119" customFormat="1" outlineLevel="2">
      <c r="A772" s="178">
        <v>40457</v>
      </c>
      <c r="B772" s="164" t="s">
        <v>952</v>
      </c>
      <c r="C772" s="164" t="s">
        <v>218</v>
      </c>
      <c r="D772" s="165" t="s">
        <v>1182</v>
      </c>
      <c r="E772" s="163"/>
      <c r="F772" s="105"/>
      <c r="G772" s="105"/>
      <c r="H772" s="105">
        <v>2</v>
      </c>
      <c r="I772" s="105">
        <v>1</v>
      </c>
      <c r="J772" s="105">
        <v>1</v>
      </c>
      <c r="K772" s="105"/>
      <c r="L772" s="105"/>
      <c r="M772" s="105"/>
      <c r="N772" s="105"/>
      <c r="O772" s="105"/>
      <c r="P772" s="105"/>
      <c r="Q772" s="105"/>
      <c r="R772" s="105"/>
      <c r="S772" s="105"/>
      <c r="T772" s="106"/>
      <c r="U772" s="130"/>
      <c r="V772" s="1"/>
      <c r="W772" s="68">
        <f t="shared" si="192"/>
        <v>0</v>
      </c>
      <c r="X772" s="68">
        <f t="shared" si="193"/>
        <v>0</v>
      </c>
      <c r="Y772" s="68">
        <f t="shared" si="194"/>
        <v>0</v>
      </c>
      <c r="Z772" s="68">
        <f t="shared" si="195"/>
        <v>0</v>
      </c>
      <c r="AA772" s="68"/>
      <c r="AB772" s="68">
        <v>0</v>
      </c>
      <c r="AC772" s="69">
        <f t="shared" si="196"/>
        <v>0</v>
      </c>
      <c r="AD772" s="70">
        <v>0</v>
      </c>
      <c r="AE772" s="63">
        <v>40459</v>
      </c>
      <c r="AF772" s="72"/>
      <c r="AG772" s="63" t="s">
        <v>938</v>
      </c>
      <c r="AH772" s="23" t="s">
        <v>939</v>
      </c>
      <c r="AI772" s="60"/>
      <c r="AJ772" s="124" t="s">
        <v>1608</v>
      </c>
      <c r="AK772" s="121" t="s">
        <v>219</v>
      </c>
      <c r="AL772" s="107"/>
      <c r="AM772" s="108"/>
      <c r="AN772" s="109"/>
      <c r="AO772" s="108"/>
      <c r="AP772" s="108"/>
      <c r="AQ772" s="108"/>
      <c r="AR772" s="108"/>
      <c r="AS772" s="108"/>
      <c r="AT772" s="108"/>
      <c r="AU772" s="108"/>
      <c r="AV772" s="108"/>
      <c r="AW772" s="108"/>
      <c r="AX772" s="108"/>
      <c r="AY772" s="108"/>
      <c r="AZ772" s="108"/>
      <c r="BA772" s="108"/>
      <c r="BB772" s="108"/>
      <c r="BC772" s="108"/>
      <c r="BD772" s="108"/>
      <c r="BE772" s="108"/>
      <c r="BF772" s="108"/>
      <c r="BG772" s="108"/>
      <c r="BH772" s="108"/>
      <c r="BI772" s="108"/>
      <c r="BJ772" s="108"/>
      <c r="BK772" s="108"/>
      <c r="BL772" s="108"/>
      <c r="BM772" s="108"/>
      <c r="BN772" s="108"/>
      <c r="BO772" s="108"/>
      <c r="BP772" s="108"/>
      <c r="BQ772" s="108"/>
      <c r="BR772" s="108"/>
      <c r="BS772" s="108"/>
      <c r="BT772" s="108"/>
      <c r="BU772" s="108"/>
      <c r="BV772" s="108"/>
      <c r="BW772" s="108"/>
      <c r="BX772" s="108"/>
      <c r="BY772" s="108"/>
      <c r="BZ772" s="108"/>
      <c r="CA772" s="108"/>
      <c r="CB772" s="108"/>
      <c r="CC772" s="108"/>
      <c r="CD772" s="108"/>
      <c r="CE772" s="108"/>
      <c r="CF772" s="108"/>
      <c r="CG772" s="108"/>
      <c r="CH772" s="108"/>
      <c r="CI772" s="108"/>
      <c r="CJ772" s="108"/>
      <c r="CK772" s="108"/>
      <c r="CL772" s="108"/>
      <c r="CM772" s="108"/>
      <c r="CN772" s="110"/>
      <c r="CO772" s="111"/>
      <c r="CP772" s="110"/>
      <c r="CQ772" s="111"/>
      <c r="CR772" s="110"/>
      <c r="CS772" s="111"/>
      <c r="CT772" s="112">
        <f t="shared" si="197"/>
        <v>0</v>
      </c>
      <c r="CU772" s="113"/>
      <c r="CV772" s="114"/>
      <c r="CW772" s="115"/>
      <c r="CX772" s="116"/>
      <c r="CY772" s="117"/>
      <c r="CZ772" s="116"/>
      <c r="DA772" s="113"/>
      <c r="DB772" s="114"/>
      <c r="DC772" s="64"/>
      <c r="DD772" s="118"/>
    </row>
    <row r="773" spans="1:108" s="119" customFormat="1" outlineLevel="2">
      <c r="A773" s="178">
        <v>40477</v>
      </c>
      <c r="B773" s="164" t="s">
        <v>952</v>
      </c>
      <c r="C773" s="164" t="s">
        <v>1826</v>
      </c>
      <c r="D773" s="166" t="s">
        <v>435</v>
      </c>
      <c r="E773" s="163"/>
      <c r="F773" s="105"/>
      <c r="G773" s="105"/>
      <c r="H773" s="105">
        <v>45</v>
      </c>
      <c r="I773" s="105">
        <v>9</v>
      </c>
      <c r="J773" s="105"/>
      <c r="K773" s="105">
        <v>9</v>
      </c>
      <c r="L773" s="105"/>
      <c r="M773" s="105"/>
      <c r="N773" s="105"/>
      <c r="O773" s="105"/>
      <c r="P773" s="105"/>
      <c r="Q773" s="105"/>
      <c r="R773" s="105"/>
      <c r="S773" s="105"/>
      <c r="T773" s="106"/>
      <c r="U773" s="130"/>
      <c r="V773" s="1"/>
      <c r="W773" s="68">
        <f t="shared" si="192"/>
        <v>0</v>
      </c>
      <c r="X773" s="68">
        <f t="shared" si="193"/>
        <v>0</v>
      </c>
      <c r="Y773" s="68">
        <f t="shared" si="194"/>
        <v>0</v>
      </c>
      <c r="Z773" s="68">
        <f t="shared" si="195"/>
        <v>0</v>
      </c>
      <c r="AA773" s="68"/>
      <c r="AB773" s="68">
        <v>0</v>
      </c>
      <c r="AC773" s="69">
        <f t="shared" si="196"/>
        <v>0</v>
      </c>
      <c r="AD773" s="70">
        <v>0</v>
      </c>
      <c r="AE773" s="63">
        <v>40478</v>
      </c>
      <c r="AF773" s="72"/>
      <c r="AG773" s="63" t="s">
        <v>938</v>
      </c>
      <c r="AH773" s="23" t="s">
        <v>939</v>
      </c>
      <c r="AI773" s="60"/>
      <c r="AJ773" s="124" t="s">
        <v>1608</v>
      </c>
      <c r="AK773" s="121" t="s">
        <v>1827</v>
      </c>
      <c r="AL773" s="107"/>
      <c r="AM773" s="108"/>
      <c r="AN773" s="109"/>
      <c r="AO773" s="108"/>
      <c r="AP773" s="108"/>
      <c r="AQ773" s="108"/>
      <c r="AR773" s="108"/>
      <c r="AS773" s="108"/>
      <c r="AT773" s="108"/>
      <c r="AU773" s="108"/>
      <c r="AV773" s="108"/>
      <c r="AW773" s="108"/>
      <c r="AX773" s="108"/>
      <c r="AY773" s="108"/>
      <c r="AZ773" s="108"/>
      <c r="BA773" s="108"/>
      <c r="BB773" s="108"/>
      <c r="BC773" s="108"/>
      <c r="BD773" s="108"/>
      <c r="BE773" s="108"/>
      <c r="BF773" s="108"/>
      <c r="BG773" s="108"/>
      <c r="BH773" s="108"/>
      <c r="BI773" s="108"/>
      <c r="BJ773" s="108"/>
      <c r="BK773" s="108"/>
      <c r="BL773" s="108"/>
      <c r="BM773" s="108"/>
      <c r="BN773" s="108"/>
      <c r="BO773" s="108"/>
      <c r="BP773" s="108"/>
      <c r="BQ773" s="108"/>
      <c r="BR773" s="108"/>
      <c r="BS773" s="108"/>
      <c r="BT773" s="108"/>
      <c r="BU773" s="108"/>
      <c r="BV773" s="108"/>
      <c r="BW773" s="108"/>
      <c r="BX773" s="108"/>
      <c r="BY773" s="108"/>
      <c r="BZ773" s="108"/>
      <c r="CA773" s="108"/>
      <c r="CB773" s="108"/>
      <c r="CC773" s="108"/>
      <c r="CD773" s="108"/>
      <c r="CE773" s="108"/>
      <c r="CF773" s="108"/>
      <c r="CG773" s="108"/>
      <c r="CH773" s="108"/>
      <c r="CI773" s="108"/>
      <c r="CJ773" s="108"/>
      <c r="CK773" s="108"/>
      <c r="CL773" s="108"/>
      <c r="CM773" s="108"/>
      <c r="CN773" s="110"/>
      <c r="CO773" s="111"/>
      <c r="CP773" s="110"/>
      <c r="CQ773" s="111"/>
      <c r="CR773" s="110"/>
      <c r="CS773" s="111"/>
      <c r="CT773" s="112">
        <f t="shared" si="197"/>
        <v>0</v>
      </c>
      <c r="CU773" s="113"/>
      <c r="CV773" s="114"/>
      <c r="CW773" s="115"/>
      <c r="CX773" s="116"/>
      <c r="CY773" s="117"/>
      <c r="CZ773" s="116"/>
      <c r="DA773" s="113"/>
      <c r="DB773" s="114"/>
      <c r="DC773" s="64"/>
      <c r="DD773" s="118"/>
    </row>
    <row r="774" spans="1:108" s="119" customFormat="1" ht="36" outlineLevel="2">
      <c r="A774" s="178">
        <v>40478</v>
      </c>
      <c r="B774" s="164" t="s">
        <v>952</v>
      </c>
      <c r="C774" s="164" t="s">
        <v>860</v>
      </c>
      <c r="D774" s="166" t="s">
        <v>1262</v>
      </c>
      <c r="E774" s="163"/>
      <c r="F774" s="105"/>
      <c r="G774" s="105"/>
      <c r="H774" s="105">
        <v>200</v>
      </c>
      <c r="I774" s="105">
        <v>40</v>
      </c>
      <c r="J774" s="105"/>
      <c r="K774" s="105">
        <v>40</v>
      </c>
      <c r="L774" s="105"/>
      <c r="M774" s="105"/>
      <c r="N774" s="105"/>
      <c r="O774" s="105"/>
      <c r="P774" s="105"/>
      <c r="Q774" s="105"/>
      <c r="R774" s="105"/>
      <c r="S774" s="105"/>
      <c r="T774" s="106"/>
      <c r="U774" s="130"/>
      <c r="V774" s="1"/>
      <c r="W774" s="68">
        <f t="shared" si="192"/>
        <v>0</v>
      </c>
      <c r="X774" s="68">
        <f t="shared" si="193"/>
        <v>0</v>
      </c>
      <c r="Y774" s="68">
        <f t="shared" si="194"/>
        <v>0</v>
      </c>
      <c r="Z774" s="68">
        <f t="shared" si="195"/>
        <v>0</v>
      </c>
      <c r="AA774" s="68"/>
      <c r="AB774" s="68">
        <v>0</v>
      </c>
      <c r="AC774" s="69">
        <f t="shared" si="196"/>
        <v>0</v>
      </c>
      <c r="AD774" s="70">
        <v>0</v>
      </c>
      <c r="AE774" s="63">
        <v>40482</v>
      </c>
      <c r="AF774" s="72"/>
      <c r="AG774" s="63" t="s">
        <v>938</v>
      </c>
      <c r="AH774" s="23" t="s">
        <v>939</v>
      </c>
      <c r="AI774" s="60"/>
      <c r="AJ774" s="124" t="s">
        <v>1608</v>
      </c>
      <c r="AK774" s="121" t="s">
        <v>1837</v>
      </c>
      <c r="AL774" s="107"/>
      <c r="AM774" s="108"/>
      <c r="AN774" s="109"/>
      <c r="AO774" s="108"/>
      <c r="AP774" s="108"/>
      <c r="AQ774" s="108"/>
      <c r="AR774" s="108"/>
      <c r="AS774" s="108"/>
      <c r="AT774" s="108"/>
      <c r="AU774" s="108"/>
      <c r="AV774" s="108"/>
      <c r="AW774" s="108"/>
      <c r="AX774" s="108"/>
      <c r="AY774" s="108"/>
      <c r="AZ774" s="108"/>
      <c r="BA774" s="108"/>
      <c r="BB774" s="108"/>
      <c r="BC774" s="108"/>
      <c r="BD774" s="108"/>
      <c r="BE774" s="108"/>
      <c r="BF774" s="108"/>
      <c r="BG774" s="108"/>
      <c r="BH774" s="108"/>
      <c r="BI774" s="108"/>
      <c r="BJ774" s="108"/>
      <c r="BK774" s="108"/>
      <c r="BL774" s="108"/>
      <c r="BM774" s="108"/>
      <c r="BN774" s="108"/>
      <c r="BO774" s="108"/>
      <c r="BP774" s="108"/>
      <c r="BQ774" s="108"/>
      <c r="BR774" s="108"/>
      <c r="BS774" s="108"/>
      <c r="BT774" s="108"/>
      <c r="BU774" s="108"/>
      <c r="BV774" s="108"/>
      <c r="BW774" s="108"/>
      <c r="BX774" s="108"/>
      <c r="BY774" s="108"/>
      <c r="BZ774" s="108"/>
      <c r="CA774" s="108"/>
      <c r="CB774" s="108"/>
      <c r="CC774" s="108"/>
      <c r="CD774" s="108"/>
      <c r="CE774" s="108"/>
      <c r="CF774" s="108"/>
      <c r="CG774" s="108"/>
      <c r="CH774" s="108"/>
      <c r="CI774" s="108"/>
      <c r="CJ774" s="108"/>
      <c r="CK774" s="108"/>
      <c r="CL774" s="108"/>
      <c r="CM774" s="108"/>
      <c r="CN774" s="110"/>
      <c r="CO774" s="111"/>
      <c r="CP774" s="110"/>
      <c r="CQ774" s="111"/>
      <c r="CR774" s="110"/>
      <c r="CS774" s="111"/>
      <c r="CT774" s="112">
        <f t="shared" si="197"/>
        <v>0</v>
      </c>
      <c r="CU774" s="113"/>
      <c r="CV774" s="114"/>
      <c r="CW774" s="115"/>
      <c r="CX774" s="116"/>
      <c r="CY774" s="117"/>
      <c r="CZ774" s="116"/>
      <c r="DA774" s="113"/>
      <c r="DB774" s="114"/>
      <c r="DC774" s="64"/>
      <c r="DD774" s="118"/>
    </row>
    <row r="775" spans="1:108" s="119" customFormat="1" ht="24" outlineLevel="2">
      <c r="A775" s="178">
        <v>40482</v>
      </c>
      <c r="B775" s="164" t="s">
        <v>952</v>
      </c>
      <c r="C775" s="164" t="s">
        <v>253</v>
      </c>
      <c r="D775" s="166" t="s">
        <v>1262</v>
      </c>
      <c r="E775" s="163">
        <v>1</v>
      </c>
      <c r="F775" s="105"/>
      <c r="G775" s="105"/>
      <c r="H775" s="105"/>
      <c r="I775" s="105"/>
      <c r="J775" s="105"/>
      <c r="K775" s="105"/>
      <c r="L775" s="105"/>
      <c r="M775" s="105"/>
      <c r="N775" s="105"/>
      <c r="O775" s="105"/>
      <c r="P775" s="105"/>
      <c r="Q775" s="105"/>
      <c r="R775" s="105"/>
      <c r="S775" s="105"/>
      <c r="T775" s="106"/>
      <c r="U775" s="130"/>
      <c r="V775" s="1"/>
      <c r="W775" s="68">
        <f t="shared" si="192"/>
        <v>0</v>
      </c>
      <c r="X775" s="68">
        <f t="shared" si="193"/>
        <v>0</v>
      </c>
      <c r="Y775" s="68">
        <f t="shared" si="194"/>
        <v>0</v>
      </c>
      <c r="Z775" s="68">
        <f t="shared" si="195"/>
        <v>0</v>
      </c>
      <c r="AA775" s="68"/>
      <c r="AB775" s="68">
        <v>0</v>
      </c>
      <c r="AC775" s="69">
        <f t="shared" si="196"/>
        <v>0</v>
      </c>
      <c r="AD775" s="70">
        <v>0</v>
      </c>
      <c r="AE775" s="63">
        <v>40487</v>
      </c>
      <c r="AF775" s="72"/>
      <c r="AG775" s="63" t="s">
        <v>938</v>
      </c>
      <c r="AH775" s="23" t="s">
        <v>939</v>
      </c>
      <c r="AI775" s="60"/>
      <c r="AJ775" s="124" t="s">
        <v>1608</v>
      </c>
      <c r="AK775" s="121" t="s">
        <v>397</v>
      </c>
      <c r="AL775" s="107"/>
      <c r="AM775" s="108"/>
      <c r="AN775" s="109"/>
      <c r="AO775" s="108"/>
      <c r="AP775" s="108"/>
      <c r="AQ775" s="108"/>
      <c r="AR775" s="108"/>
      <c r="AS775" s="108"/>
      <c r="AT775" s="108"/>
      <c r="AU775" s="108"/>
      <c r="AV775" s="108"/>
      <c r="AW775" s="108"/>
      <c r="AX775" s="108"/>
      <c r="AY775" s="108"/>
      <c r="AZ775" s="108"/>
      <c r="BA775" s="108"/>
      <c r="BB775" s="108"/>
      <c r="BC775" s="108"/>
      <c r="BD775" s="108"/>
      <c r="BE775" s="108"/>
      <c r="BF775" s="108"/>
      <c r="BG775" s="108"/>
      <c r="BH775" s="108"/>
      <c r="BI775" s="108"/>
      <c r="BJ775" s="108"/>
      <c r="BK775" s="108"/>
      <c r="BL775" s="108"/>
      <c r="BM775" s="108"/>
      <c r="BN775" s="108"/>
      <c r="BO775" s="108"/>
      <c r="BP775" s="108"/>
      <c r="BQ775" s="108"/>
      <c r="BR775" s="108"/>
      <c r="BS775" s="108"/>
      <c r="BT775" s="108"/>
      <c r="BU775" s="108"/>
      <c r="BV775" s="108"/>
      <c r="BW775" s="108"/>
      <c r="BX775" s="108"/>
      <c r="BY775" s="108"/>
      <c r="BZ775" s="108"/>
      <c r="CA775" s="108"/>
      <c r="CB775" s="108"/>
      <c r="CC775" s="108"/>
      <c r="CD775" s="108"/>
      <c r="CE775" s="108"/>
      <c r="CF775" s="108"/>
      <c r="CG775" s="108"/>
      <c r="CH775" s="108"/>
      <c r="CI775" s="108"/>
      <c r="CJ775" s="108"/>
      <c r="CK775" s="108"/>
      <c r="CL775" s="108"/>
      <c r="CM775" s="108"/>
      <c r="CN775" s="110"/>
      <c r="CO775" s="111"/>
      <c r="CP775" s="110"/>
      <c r="CQ775" s="111"/>
      <c r="CR775" s="110"/>
      <c r="CS775" s="111"/>
      <c r="CT775" s="112">
        <f t="shared" si="197"/>
        <v>0</v>
      </c>
      <c r="CU775" s="113"/>
      <c r="CV775" s="114"/>
      <c r="CW775" s="115"/>
      <c r="CX775" s="116"/>
      <c r="CY775" s="117"/>
      <c r="CZ775" s="116"/>
      <c r="DA775" s="113"/>
      <c r="DB775" s="114"/>
      <c r="DC775" s="64"/>
      <c r="DD775" s="118"/>
    </row>
    <row r="776" spans="1:108" s="119" customFormat="1" ht="24" outlineLevel="2">
      <c r="A776" s="178">
        <v>40482</v>
      </c>
      <c r="B776" s="164" t="s">
        <v>952</v>
      </c>
      <c r="C776" s="164" t="s">
        <v>395</v>
      </c>
      <c r="D776" s="165" t="s">
        <v>1182</v>
      </c>
      <c r="E776" s="163"/>
      <c r="F776" s="105"/>
      <c r="G776" s="105"/>
      <c r="H776" s="105">
        <v>40</v>
      </c>
      <c r="I776" s="105">
        <v>10</v>
      </c>
      <c r="J776" s="105"/>
      <c r="K776" s="105">
        <v>10</v>
      </c>
      <c r="L776" s="105"/>
      <c r="M776" s="105"/>
      <c r="N776" s="105"/>
      <c r="O776" s="105"/>
      <c r="P776" s="105"/>
      <c r="Q776" s="105"/>
      <c r="R776" s="105"/>
      <c r="S776" s="105"/>
      <c r="T776" s="106"/>
      <c r="U776" s="130"/>
      <c r="V776" s="1"/>
      <c r="W776" s="68">
        <f t="shared" si="192"/>
        <v>0</v>
      </c>
      <c r="X776" s="68">
        <f t="shared" si="193"/>
        <v>0</v>
      </c>
      <c r="Y776" s="68">
        <f t="shared" si="194"/>
        <v>0</v>
      </c>
      <c r="Z776" s="68">
        <f t="shared" si="195"/>
        <v>0</v>
      </c>
      <c r="AA776" s="68"/>
      <c r="AB776" s="68">
        <v>0</v>
      </c>
      <c r="AC776" s="69">
        <f t="shared" si="196"/>
        <v>0</v>
      </c>
      <c r="AD776" s="70">
        <v>0</v>
      </c>
      <c r="AE776" s="63">
        <v>40487</v>
      </c>
      <c r="AF776" s="72"/>
      <c r="AG776" s="63" t="s">
        <v>938</v>
      </c>
      <c r="AH776" s="23" t="s">
        <v>939</v>
      </c>
      <c r="AI776" s="60"/>
      <c r="AJ776" s="124" t="s">
        <v>1608</v>
      </c>
      <c r="AK776" s="121" t="s">
        <v>396</v>
      </c>
      <c r="AL776" s="107"/>
      <c r="AM776" s="108"/>
      <c r="AN776" s="109"/>
      <c r="AO776" s="108"/>
      <c r="AP776" s="108"/>
      <c r="AQ776" s="108"/>
      <c r="AR776" s="108"/>
      <c r="AS776" s="108"/>
      <c r="AT776" s="108"/>
      <c r="AU776" s="108"/>
      <c r="AV776" s="108"/>
      <c r="AW776" s="108"/>
      <c r="AX776" s="108"/>
      <c r="AY776" s="108"/>
      <c r="AZ776" s="108"/>
      <c r="BA776" s="108"/>
      <c r="BB776" s="108"/>
      <c r="BC776" s="108"/>
      <c r="BD776" s="108"/>
      <c r="BE776" s="108"/>
      <c r="BF776" s="108"/>
      <c r="BG776" s="108"/>
      <c r="BH776" s="108"/>
      <c r="BI776" s="108"/>
      <c r="BJ776" s="108"/>
      <c r="BK776" s="108"/>
      <c r="BL776" s="108"/>
      <c r="BM776" s="108"/>
      <c r="BN776" s="108"/>
      <c r="BO776" s="108"/>
      <c r="BP776" s="108"/>
      <c r="BQ776" s="108"/>
      <c r="BR776" s="108"/>
      <c r="BS776" s="108"/>
      <c r="BT776" s="108"/>
      <c r="BU776" s="108"/>
      <c r="BV776" s="108"/>
      <c r="BW776" s="108"/>
      <c r="BX776" s="108"/>
      <c r="BY776" s="108"/>
      <c r="BZ776" s="108"/>
      <c r="CA776" s="108"/>
      <c r="CB776" s="108"/>
      <c r="CC776" s="108"/>
      <c r="CD776" s="108"/>
      <c r="CE776" s="108"/>
      <c r="CF776" s="108"/>
      <c r="CG776" s="108"/>
      <c r="CH776" s="108"/>
      <c r="CI776" s="108"/>
      <c r="CJ776" s="108"/>
      <c r="CK776" s="108"/>
      <c r="CL776" s="108"/>
      <c r="CM776" s="108"/>
      <c r="CN776" s="110"/>
      <c r="CO776" s="111"/>
      <c r="CP776" s="110"/>
      <c r="CQ776" s="111"/>
      <c r="CR776" s="110"/>
      <c r="CS776" s="111"/>
      <c r="CT776" s="112">
        <f t="shared" si="197"/>
        <v>0</v>
      </c>
      <c r="CU776" s="113"/>
      <c r="CV776" s="114"/>
      <c r="CW776" s="115"/>
      <c r="CX776" s="116"/>
      <c r="CY776" s="117"/>
      <c r="CZ776" s="116"/>
      <c r="DA776" s="113"/>
      <c r="DB776" s="114"/>
      <c r="DC776" s="64"/>
      <c r="DD776" s="118"/>
    </row>
    <row r="777" spans="1:108" s="119" customFormat="1" ht="72" outlineLevel="2">
      <c r="A777" s="178">
        <v>40482</v>
      </c>
      <c r="B777" s="164" t="s">
        <v>952</v>
      </c>
      <c r="C777" s="164" t="s">
        <v>860</v>
      </c>
      <c r="D777" s="165" t="s">
        <v>1182</v>
      </c>
      <c r="E777" s="163"/>
      <c r="F777" s="105"/>
      <c r="G777" s="105"/>
      <c r="H777" s="105">
        <v>590</v>
      </c>
      <c r="I777" s="105">
        <v>118</v>
      </c>
      <c r="J777" s="105">
        <v>12</v>
      </c>
      <c r="K777" s="105">
        <v>20</v>
      </c>
      <c r="L777" s="105"/>
      <c r="M777" s="105"/>
      <c r="N777" s="105"/>
      <c r="O777" s="105"/>
      <c r="P777" s="105"/>
      <c r="Q777" s="105"/>
      <c r="R777" s="105"/>
      <c r="S777" s="105"/>
      <c r="T777" s="106"/>
      <c r="U777" s="130"/>
      <c r="V777" s="1"/>
      <c r="W777" s="68">
        <f t="shared" si="192"/>
        <v>0</v>
      </c>
      <c r="X777" s="68">
        <f t="shared" si="193"/>
        <v>0</v>
      </c>
      <c r="Y777" s="68">
        <f t="shared" si="194"/>
        <v>0</v>
      </c>
      <c r="Z777" s="68">
        <f t="shared" si="195"/>
        <v>0</v>
      </c>
      <c r="AA777" s="68"/>
      <c r="AB777" s="68">
        <v>0</v>
      </c>
      <c r="AC777" s="69">
        <f t="shared" si="196"/>
        <v>0</v>
      </c>
      <c r="AD777" s="70">
        <v>0</v>
      </c>
      <c r="AE777" s="63">
        <v>40484</v>
      </c>
      <c r="AF777" s="72"/>
      <c r="AG777" s="63" t="s">
        <v>938</v>
      </c>
      <c r="AH777" s="23" t="s">
        <v>939</v>
      </c>
      <c r="AI777" s="83"/>
      <c r="AJ777" s="124" t="s">
        <v>1608</v>
      </c>
      <c r="AK777" s="121" t="s">
        <v>987</v>
      </c>
      <c r="AL777" s="107"/>
      <c r="AM777" s="108"/>
      <c r="AN777" s="109"/>
      <c r="AO777" s="108"/>
      <c r="AP777" s="108"/>
      <c r="AQ777" s="108"/>
      <c r="AR777" s="108"/>
      <c r="AS777" s="108"/>
      <c r="AT777" s="108"/>
      <c r="AU777" s="108"/>
      <c r="AV777" s="108"/>
      <c r="AW777" s="108"/>
      <c r="AX777" s="108"/>
      <c r="AY777" s="108"/>
      <c r="AZ777" s="108"/>
      <c r="BA777" s="108"/>
      <c r="BB777" s="108"/>
      <c r="BC777" s="108"/>
      <c r="BD777" s="108"/>
      <c r="BE777" s="108"/>
      <c r="BF777" s="108"/>
      <c r="BG777" s="108"/>
      <c r="BH777" s="108"/>
      <c r="BI777" s="108"/>
      <c r="BJ777" s="108"/>
      <c r="BK777" s="108"/>
      <c r="BL777" s="108"/>
      <c r="BM777" s="108"/>
      <c r="BN777" s="108"/>
      <c r="BO777" s="108"/>
      <c r="BP777" s="108"/>
      <c r="BQ777" s="108"/>
      <c r="BR777" s="108"/>
      <c r="BS777" s="108"/>
      <c r="BT777" s="108"/>
      <c r="BU777" s="108"/>
      <c r="BV777" s="108"/>
      <c r="BW777" s="108"/>
      <c r="BX777" s="108"/>
      <c r="BY777" s="108"/>
      <c r="BZ777" s="108"/>
      <c r="CA777" s="108"/>
      <c r="CB777" s="108"/>
      <c r="CC777" s="108"/>
      <c r="CD777" s="108"/>
      <c r="CE777" s="108"/>
      <c r="CF777" s="108"/>
      <c r="CG777" s="108"/>
      <c r="CH777" s="108"/>
      <c r="CI777" s="108"/>
      <c r="CJ777" s="108"/>
      <c r="CK777" s="108"/>
      <c r="CL777" s="108"/>
      <c r="CM777" s="108"/>
      <c r="CN777" s="110"/>
      <c r="CO777" s="111"/>
      <c r="CP777" s="110"/>
      <c r="CQ777" s="111"/>
      <c r="CR777" s="110"/>
      <c r="CS777" s="111"/>
      <c r="CT777" s="112">
        <f t="shared" si="197"/>
        <v>0</v>
      </c>
      <c r="CU777" s="113"/>
      <c r="CV777" s="114"/>
      <c r="CW777" s="115"/>
      <c r="CX777" s="116"/>
      <c r="CY777" s="117"/>
      <c r="CZ777" s="116"/>
      <c r="DA777" s="113"/>
      <c r="DB777" s="114"/>
      <c r="DC777" s="64"/>
      <c r="DD777" s="118"/>
    </row>
    <row r="778" spans="1:108" s="119" customFormat="1" ht="24" outlineLevel="2">
      <c r="A778" s="178">
        <v>40484</v>
      </c>
      <c r="B778" s="164" t="s">
        <v>952</v>
      </c>
      <c r="C778" s="164" t="s">
        <v>1709</v>
      </c>
      <c r="D778" s="166" t="s">
        <v>1262</v>
      </c>
      <c r="E778" s="163">
        <v>1</v>
      </c>
      <c r="F778" s="105"/>
      <c r="G778" s="105"/>
      <c r="H778" s="105"/>
      <c r="I778" s="105"/>
      <c r="J778" s="105"/>
      <c r="K778" s="105"/>
      <c r="L778" s="105"/>
      <c r="M778" s="105"/>
      <c r="N778" s="105"/>
      <c r="O778" s="105"/>
      <c r="P778" s="105"/>
      <c r="Q778" s="105"/>
      <c r="R778" s="105"/>
      <c r="S778" s="105"/>
      <c r="T778" s="106"/>
      <c r="U778" s="130"/>
      <c r="V778" s="1"/>
      <c r="W778" s="68">
        <f t="shared" si="192"/>
        <v>0</v>
      </c>
      <c r="X778" s="68">
        <f t="shared" si="193"/>
        <v>0</v>
      </c>
      <c r="Y778" s="68">
        <f t="shared" si="194"/>
        <v>0</v>
      </c>
      <c r="Z778" s="68">
        <f t="shared" si="195"/>
        <v>0</v>
      </c>
      <c r="AA778" s="68"/>
      <c r="AB778" s="68">
        <v>0</v>
      </c>
      <c r="AC778" s="69">
        <f t="shared" si="196"/>
        <v>0</v>
      </c>
      <c r="AD778" s="70">
        <v>0</v>
      </c>
      <c r="AE778" s="63">
        <v>40484</v>
      </c>
      <c r="AF778" s="72"/>
      <c r="AG778" s="63" t="s">
        <v>938</v>
      </c>
      <c r="AH778" s="23" t="s">
        <v>939</v>
      </c>
      <c r="AI778" s="83"/>
      <c r="AJ778" s="124" t="s">
        <v>1608</v>
      </c>
      <c r="AK778" s="121" t="s">
        <v>360</v>
      </c>
      <c r="AL778" s="107"/>
      <c r="AM778" s="108"/>
      <c r="AN778" s="109"/>
      <c r="AO778" s="108"/>
      <c r="AP778" s="108"/>
      <c r="AQ778" s="108"/>
      <c r="AR778" s="108"/>
      <c r="AS778" s="108"/>
      <c r="AT778" s="108"/>
      <c r="AU778" s="108"/>
      <c r="AV778" s="108"/>
      <c r="AW778" s="108"/>
      <c r="AX778" s="108"/>
      <c r="AY778" s="108"/>
      <c r="AZ778" s="108"/>
      <c r="BA778" s="108"/>
      <c r="BB778" s="108"/>
      <c r="BC778" s="108"/>
      <c r="BD778" s="108"/>
      <c r="BE778" s="108"/>
      <c r="BF778" s="108"/>
      <c r="BG778" s="108"/>
      <c r="BH778" s="108"/>
      <c r="BI778" s="108"/>
      <c r="BJ778" s="108"/>
      <c r="BK778" s="108"/>
      <c r="BL778" s="108"/>
      <c r="BM778" s="108"/>
      <c r="BN778" s="108"/>
      <c r="BO778" s="108"/>
      <c r="BP778" s="108"/>
      <c r="BQ778" s="108"/>
      <c r="BR778" s="108"/>
      <c r="BS778" s="108"/>
      <c r="BT778" s="108"/>
      <c r="BU778" s="108"/>
      <c r="BV778" s="108"/>
      <c r="BW778" s="108"/>
      <c r="BX778" s="108"/>
      <c r="BY778" s="108"/>
      <c r="BZ778" s="108"/>
      <c r="CA778" s="108"/>
      <c r="CB778" s="108"/>
      <c r="CC778" s="108"/>
      <c r="CD778" s="108"/>
      <c r="CE778" s="108"/>
      <c r="CF778" s="108"/>
      <c r="CG778" s="108"/>
      <c r="CH778" s="108"/>
      <c r="CI778" s="108"/>
      <c r="CJ778" s="108"/>
      <c r="CK778" s="108"/>
      <c r="CL778" s="108"/>
      <c r="CM778" s="108"/>
      <c r="CN778" s="110"/>
      <c r="CO778" s="111"/>
      <c r="CP778" s="110"/>
      <c r="CQ778" s="111"/>
      <c r="CR778" s="110"/>
      <c r="CS778" s="111"/>
      <c r="CT778" s="112">
        <f t="shared" si="197"/>
        <v>0</v>
      </c>
      <c r="CU778" s="113"/>
      <c r="CV778" s="114"/>
      <c r="CW778" s="115"/>
      <c r="CX778" s="116"/>
      <c r="CY778" s="117"/>
      <c r="CZ778" s="116"/>
      <c r="DA778" s="113"/>
      <c r="DB778" s="114"/>
      <c r="DC778" s="64"/>
      <c r="DD778" s="118"/>
    </row>
    <row r="779" spans="1:108" s="119" customFormat="1" ht="24" outlineLevel="2">
      <c r="A779" s="178">
        <v>40485</v>
      </c>
      <c r="B779" s="164" t="s">
        <v>952</v>
      </c>
      <c r="C779" s="164" t="s">
        <v>1681</v>
      </c>
      <c r="D779" s="166" t="s">
        <v>1262</v>
      </c>
      <c r="E779" s="163"/>
      <c r="F779" s="105"/>
      <c r="G779" s="105"/>
      <c r="H779" s="105">
        <v>150</v>
      </c>
      <c r="I779" s="105">
        <v>30</v>
      </c>
      <c r="J779" s="105"/>
      <c r="K779" s="105">
        <v>30</v>
      </c>
      <c r="L779" s="105"/>
      <c r="M779" s="105"/>
      <c r="N779" s="105"/>
      <c r="O779" s="105"/>
      <c r="P779" s="105"/>
      <c r="Q779" s="105"/>
      <c r="R779" s="105"/>
      <c r="S779" s="105"/>
      <c r="T779" s="106"/>
      <c r="U779" s="130"/>
      <c r="V779" s="1"/>
      <c r="W779" s="68">
        <f t="shared" si="192"/>
        <v>0</v>
      </c>
      <c r="X779" s="68">
        <f t="shared" si="193"/>
        <v>0</v>
      </c>
      <c r="Y779" s="68">
        <f t="shared" si="194"/>
        <v>0</v>
      </c>
      <c r="Z779" s="68">
        <f t="shared" si="195"/>
        <v>0</v>
      </c>
      <c r="AA779" s="68"/>
      <c r="AB779" s="68">
        <v>0</v>
      </c>
      <c r="AC779" s="69">
        <f t="shared" si="196"/>
        <v>0</v>
      </c>
      <c r="AD779" s="70">
        <v>0</v>
      </c>
      <c r="AE779" s="63">
        <v>40487</v>
      </c>
      <c r="AF779" s="72"/>
      <c r="AG779" s="63" t="s">
        <v>938</v>
      </c>
      <c r="AH779" s="23" t="s">
        <v>939</v>
      </c>
      <c r="AI779" s="60"/>
      <c r="AJ779" s="124" t="s">
        <v>1608</v>
      </c>
      <c r="AK779" s="121" t="s">
        <v>398</v>
      </c>
      <c r="AL779" s="107"/>
      <c r="AM779" s="108"/>
      <c r="AN779" s="109"/>
      <c r="AO779" s="108"/>
      <c r="AP779" s="108"/>
      <c r="AQ779" s="108"/>
      <c r="AR779" s="108"/>
      <c r="AS779" s="108"/>
      <c r="AT779" s="108"/>
      <c r="AU779" s="108"/>
      <c r="AV779" s="108"/>
      <c r="AW779" s="108"/>
      <c r="AX779" s="108"/>
      <c r="AY779" s="108"/>
      <c r="AZ779" s="108"/>
      <c r="BA779" s="108"/>
      <c r="BB779" s="108"/>
      <c r="BC779" s="108"/>
      <c r="BD779" s="108"/>
      <c r="BE779" s="108"/>
      <c r="BF779" s="108"/>
      <c r="BG779" s="108"/>
      <c r="BH779" s="108"/>
      <c r="BI779" s="108"/>
      <c r="BJ779" s="108"/>
      <c r="BK779" s="108"/>
      <c r="BL779" s="108"/>
      <c r="BM779" s="108"/>
      <c r="BN779" s="108"/>
      <c r="BO779" s="108"/>
      <c r="BP779" s="108"/>
      <c r="BQ779" s="108"/>
      <c r="BR779" s="108"/>
      <c r="BS779" s="108"/>
      <c r="BT779" s="108"/>
      <c r="BU779" s="108"/>
      <c r="BV779" s="108"/>
      <c r="BW779" s="108"/>
      <c r="BX779" s="108"/>
      <c r="BY779" s="108"/>
      <c r="BZ779" s="108"/>
      <c r="CA779" s="108"/>
      <c r="CB779" s="108"/>
      <c r="CC779" s="108"/>
      <c r="CD779" s="108"/>
      <c r="CE779" s="108"/>
      <c r="CF779" s="108"/>
      <c r="CG779" s="108"/>
      <c r="CH779" s="108"/>
      <c r="CI779" s="108"/>
      <c r="CJ779" s="108"/>
      <c r="CK779" s="108"/>
      <c r="CL779" s="108"/>
      <c r="CM779" s="108"/>
      <c r="CN779" s="110"/>
      <c r="CO779" s="111"/>
      <c r="CP779" s="110"/>
      <c r="CQ779" s="111"/>
      <c r="CR779" s="110"/>
      <c r="CS779" s="111"/>
      <c r="CT779" s="112">
        <f t="shared" si="197"/>
        <v>0</v>
      </c>
      <c r="CU779" s="113"/>
      <c r="CV779" s="114"/>
      <c r="CW779" s="115"/>
      <c r="CX779" s="116"/>
      <c r="CY779" s="117"/>
      <c r="CZ779" s="116"/>
      <c r="DA779" s="113"/>
      <c r="DB779" s="114"/>
      <c r="DC779" s="64"/>
      <c r="DD779" s="118"/>
    </row>
    <row r="780" spans="1:108" s="119" customFormat="1" ht="24" outlineLevel="2">
      <c r="A780" s="178">
        <v>40486</v>
      </c>
      <c r="B780" s="164" t="s">
        <v>952</v>
      </c>
      <c r="C780" s="164" t="s">
        <v>1909</v>
      </c>
      <c r="D780" s="166" t="s">
        <v>1262</v>
      </c>
      <c r="E780" s="163"/>
      <c r="F780" s="105"/>
      <c r="G780" s="105"/>
      <c r="H780" s="105">
        <v>5</v>
      </c>
      <c r="I780" s="105">
        <v>1</v>
      </c>
      <c r="J780" s="105"/>
      <c r="K780" s="105">
        <v>1</v>
      </c>
      <c r="L780" s="105"/>
      <c r="M780" s="105"/>
      <c r="N780" s="105"/>
      <c r="O780" s="105"/>
      <c r="P780" s="105"/>
      <c r="Q780" s="105"/>
      <c r="R780" s="105"/>
      <c r="S780" s="105"/>
      <c r="T780" s="106"/>
      <c r="U780" s="130"/>
      <c r="V780" s="1"/>
      <c r="W780" s="68">
        <f t="shared" si="192"/>
        <v>0</v>
      </c>
      <c r="X780" s="68">
        <f t="shared" si="193"/>
        <v>0</v>
      </c>
      <c r="Y780" s="68">
        <f t="shared" si="194"/>
        <v>0</v>
      </c>
      <c r="Z780" s="68">
        <f t="shared" si="195"/>
        <v>0</v>
      </c>
      <c r="AA780" s="68"/>
      <c r="AB780" s="68">
        <v>0</v>
      </c>
      <c r="AC780" s="69">
        <f t="shared" si="196"/>
        <v>0</v>
      </c>
      <c r="AD780" s="70">
        <v>0</v>
      </c>
      <c r="AE780" s="63">
        <v>40492</v>
      </c>
      <c r="AF780" s="72"/>
      <c r="AG780" s="63" t="s">
        <v>938</v>
      </c>
      <c r="AH780" s="23" t="s">
        <v>939</v>
      </c>
      <c r="AI780" s="60"/>
      <c r="AJ780" s="124" t="s">
        <v>1608</v>
      </c>
      <c r="AK780" s="121" t="s">
        <v>519</v>
      </c>
      <c r="AL780" s="107"/>
      <c r="AM780" s="108"/>
      <c r="AN780" s="109"/>
      <c r="AO780" s="108"/>
      <c r="AP780" s="108"/>
      <c r="AQ780" s="108"/>
      <c r="AR780" s="108"/>
      <c r="AS780" s="108"/>
      <c r="AT780" s="108"/>
      <c r="AU780" s="108"/>
      <c r="AV780" s="108"/>
      <c r="AW780" s="108"/>
      <c r="AX780" s="108"/>
      <c r="AY780" s="108"/>
      <c r="AZ780" s="108"/>
      <c r="BA780" s="108"/>
      <c r="BB780" s="108"/>
      <c r="BC780" s="108"/>
      <c r="BD780" s="108"/>
      <c r="BE780" s="108"/>
      <c r="BF780" s="108"/>
      <c r="BG780" s="108"/>
      <c r="BH780" s="108"/>
      <c r="BI780" s="108"/>
      <c r="BJ780" s="108"/>
      <c r="BK780" s="108"/>
      <c r="BL780" s="108"/>
      <c r="BM780" s="108"/>
      <c r="BN780" s="108"/>
      <c r="BO780" s="108"/>
      <c r="BP780" s="108"/>
      <c r="BQ780" s="108"/>
      <c r="BR780" s="108"/>
      <c r="BS780" s="108"/>
      <c r="BT780" s="108"/>
      <c r="BU780" s="108"/>
      <c r="BV780" s="108"/>
      <c r="BW780" s="108"/>
      <c r="BX780" s="108"/>
      <c r="BY780" s="108"/>
      <c r="BZ780" s="108"/>
      <c r="CA780" s="108"/>
      <c r="CB780" s="108"/>
      <c r="CC780" s="108"/>
      <c r="CD780" s="108"/>
      <c r="CE780" s="108"/>
      <c r="CF780" s="108"/>
      <c r="CG780" s="108"/>
      <c r="CH780" s="108"/>
      <c r="CI780" s="108"/>
      <c r="CJ780" s="108"/>
      <c r="CK780" s="108"/>
      <c r="CL780" s="108"/>
      <c r="CM780" s="108"/>
      <c r="CN780" s="110"/>
      <c r="CO780" s="111"/>
      <c r="CP780" s="110"/>
      <c r="CQ780" s="111"/>
      <c r="CR780" s="110"/>
      <c r="CS780" s="111"/>
      <c r="CT780" s="112">
        <f t="shared" si="197"/>
        <v>0</v>
      </c>
      <c r="CU780" s="113"/>
      <c r="CV780" s="114"/>
      <c r="CW780" s="115"/>
      <c r="CX780" s="116"/>
      <c r="CY780" s="117"/>
      <c r="CZ780" s="116"/>
      <c r="DA780" s="113"/>
      <c r="DB780" s="114"/>
      <c r="DC780" s="64"/>
      <c r="DD780" s="118"/>
    </row>
    <row r="781" spans="1:108" s="119" customFormat="1" outlineLevel="2">
      <c r="A781" s="178">
        <v>40486</v>
      </c>
      <c r="B781" s="164" t="s">
        <v>952</v>
      </c>
      <c r="C781" s="164" t="s">
        <v>440</v>
      </c>
      <c r="D781" s="166" t="s">
        <v>435</v>
      </c>
      <c r="E781" s="163"/>
      <c r="F781" s="105"/>
      <c r="G781" s="105"/>
      <c r="H781" s="105">
        <v>40</v>
      </c>
      <c r="I781" s="105">
        <v>8</v>
      </c>
      <c r="J781" s="105"/>
      <c r="K781" s="105">
        <v>8</v>
      </c>
      <c r="L781" s="105"/>
      <c r="M781" s="105"/>
      <c r="N781" s="105"/>
      <c r="O781" s="105"/>
      <c r="P781" s="105"/>
      <c r="Q781" s="105"/>
      <c r="R781" s="105"/>
      <c r="S781" s="105"/>
      <c r="T781" s="106"/>
      <c r="U781" s="130"/>
      <c r="V781" s="1"/>
      <c r="W781" s="68">
        <f t="shared" si="192"/>
        <v>0</v>
      </c>
      <c r="X781" s="68">
        <f t="shared" si="193"/>
        <v>0</v>
      </c>
      <c r="Y781" s="68">
        <f t="shared" si="194"/>
        <v>0</v>
      </c>
      <c r="Z781" s="68">
        <f t="shared" si="195"/>
        <v>0</v>
      </c>
      <c r="AA781" s="68"/>
      <c r="AB781" s="68">
        <v>0</v>
      </c>
      <c r="AC781" s="69">
        <f t="shared" si="196"/>
        <v>0</v>
      </c>
      <c r="AD781" s="70">
        <v>0</v>
      </c>
      <c r="AE781" s="63">
        <v>40492</v>
      </c>
      <c r="AF781" s="72"/>
      <c r="AG781" s="63" t="s">
        <v>938</v>
      </c>
      <c r="AH781" s="23" t="s">
        <v>939</v>
      </c>
      <c r="AI781" s="60"/>
      <c r="AJ781" s="124" t="s">
        <v>1608</v>
      </c>
      <c r="AK781" s="121" t="s">
        <v>518</v>
      </c>
      <c r="AL781" s="107"/>
      <c r="AM781" s="108"/>
      <c r="AN781" s="109"/>
      <c r="AO781" s="108"/>
      <c r="AP781" s="108"/>
      <c r="AQ781" s="108"/>
      <c r="AR781" s="108"/>
      <c r="AS781" s="108"/>
      <c r="AT781" s="108"/>
      <c r="AU781" s="108"/>
      <c r="AV781" s="108"/>
      <c r="AW781" s="108"/>
      <c r="AX781" s="108"/>
      <c r="AY781" s="108"/>
      <c r="AZ781" s="108"/>
      <c r="BA781" s="108"/>
      <c r="BB781" s="108"/>
      <c r="BC781" s="108"/>
      <c r="BD781" s="108"/>
      <c r="BE781" s="108"/>
      <c r="BF781" s="108"/>
      <c r="BG781" s="108"/>
      <c r="BH781" s="108"/>
      <c r="BI781" s="108"/>
      <c r="BJ781" s="108"/>
      <c r="BK781" s="108"/>
      <c r="BL781" s="108"/>
      <c r="BM781" s="108"/>
      <c r="BN781" s="108"/>
      <c r="BO781" s="108"/>
      <c r="BP781" s="108"/>
      <c r="BQ781" s="108"/>
      <c r="BR781" s="108"/>
      <c r="BS781" s="108"/>
      <c r="BT781" s="108"/>
      <c r="BU781" s="108"/>
      <c r="BV781" s="108"/>
      <c r="BW781" s="108"/>
      <c r="BX781" s="108"/>
      <c r="BY781" s="108"/>
      <c r="BZ781" s="108"/>
      <c r="CA781" s="108"/>
      <c r="CB781" s="108"/>
      <c r="CC781" s="108"/>
      <c r="CD781" s="108"/>
      <c r="CE781" s="108"/>
      <c r="CF781" s="108"/>
      <c r="CG781" s="108"/>
      <c r="CH781" s="108"/>
      <c r="CI781" s="108"/>
      <c r="CJ781" s="108"/>
      <c r="CK781" s="108"/>
      <c r="CL781" s="108"/>
      <c r="CM781" s="108"/>
      <c r="CN781" s="110"/>
      <c r="CO781" s="111"/>
      <c r="CP781" s="110"/>
      <c r="CQ781" s="111"/>
      <c r="CR781" s="110"/>
      <c r="CS781" s="111"/>
      <c r="CT781" s="112">
        <f t="shared" si="197"/>
        <v>0</v>
      </c>
      <c r="CU781" s="113"/>
      <c r="CV781" s="114"/>
      <c r="CW781" s="115"/>
      <c r="CX781" s="116"/>
      <c r="CY781" s="117"/>
      <c r="CZ781" s="116"/>
      <c r="DA781" s="113"/>
      <c r="DB781" s="114"/>
      <c r="DC781" s="64"/>
      <c r="DD781" s="118"/>
    </row>
    <row r="782" spans="1:108" s="119" customFormat="1" ht="84" outlineLevel="2">
      <c r="A782" s="178">
        <v>40487</v>
      </c>
      <c r="B782" s="164" t="s">
        <v>952</v>
      </c>
      <c r="C782" s="164" t="s">
        <v>2377</v>
      </c>
      <c r="D782" s="166" t="s">
        <v>1262</v>
      </c>
      <c r="E782" s="163"/>
      <c r="F782" s="105"/>
      <c r="G782" s="105"/>
      <c r="H782" s="105">
        <f>95*5</f>
        <v>475</v>
      </c>
      <c r="I782" s="105">
        <f>12+16+17+18+8+14+10</f>
        <v>95</v>
      </c>
      <c r="J782" s="105"/>
      <c r="K782" s="105">
        <v>95</v>
      </c>
      <c r="L782" s="105">
        <v>1</v>
      </c>
      <c r="M782" s="105"/>
      <c r="N782" s="105"/>
      <c r="O782" s="105"/>
      <c r="P782" s="105"/>
      <c r="Q782" s="105"/>
      <c r="R782" s="105"/>
      <c r="S782" s="105"/>
      <c r="T782" s="106"/>
      <c r="U782" s="130"/>
      <c r="V782" s="1"/>
      <c r="W782" s="68">
        <f t="shared" si="192"/>
        <v>0</v>
      </c>
      <c r="X782" s="68">
        <f t="shared" si="193"/>
        <v>0</v>
      </c>
      <c r="Y782" s="68">
        <f t="shared" si="194"/>
        <v>0</v>
      </c>
      <c r="Z782" s="68">
        <f t="shared" si="195"/>
        <v>0</v>
      </c>
      <c r="AA782" s="68"/>
      <c r="AB782" s="68">
        <v>0</v>
      </c>
      <c r="AC782" s="69">
        <f t="shared" si="196"/>
        <v>0</v>
      </c>
      <c r="AD782" s="70">
        <v>0</v>
      </c>
      <c r="AE782" s="63">
        <v>40490</v>
      </c>
      <c r="AF782" s="72"/>
      <c r="AG782" s="63" t="s">
        <v>938</v>
      </c>
      <c r="AH782" s="23" t="s">
        <v>939</v>
      </c>
      <c r="AI782" s="60"/>
      <c r="AJ782" s="124" t="s">
        <v>1608</v>
      </c>
      <c r="AK782" s="121" t="s">
        <v>34</v>
      </c>
      <c r="AL782" s="107"/>
      <c r="AM782" s="108"/>
      <c r="AN782" s="109"/>
      <c r="AO782" s="108"/>
      <c r="AP782" s="108"/>
      <c r="AQ782" s="108"/>
      <c r="AR782" s="108"/>
      <c r="AS782" s="108"/>
      <c r="AT782" s="108"/>
      <c r="AU782" s="108"/>
      <c r="AV782" s="108"/>
      <c r="AW782" s="108"/>
      <c r="AX782" s="108"/>
      <c r="AY782" s="108"/>
      <c r="AZ782" s="108"/>
      <c r="BA782" s="108"/>
      <c r="BB782" s="108"/>
      <c r="BC782" s="108"/>
      <c r="BD782" s="108"/>
      <c r="BE782" s="108"/>
      <c r="BF782" s="108"/>
      <c r="BG782" s="108"/>
      <c r="BH782" s="108"/>
      <c r="BI782" s="108"/>
      <c r="BJ782" s="108"/>
      <c r="BK782" s="108"/>
      <c r="BL782" s="108"/>
      <c r="BM782" s="108"/>
      <c r="BN782" s="108"/>
      <c r="BO782" s="108"/>
      <c r="BP782" s="108"/>
      <c r="BQ782" s="108"/>
      <c r="BR782" s="108"/>
      <c r="BS782" s="108"/>
      <c r="BT782" s="108"/>
      <c r="BU782" s="108"/>
      <c r="BV782" s="108"/>
      <c r="BW782" s="108"/>
      <c r="BX782" s="108"/>
      <c r="BY782" s="108"/>
      <c r="BZ782" s="108"/>
      <c r="CA782" s="108"/>
      <c r="CB782" s="108"/>
      <c r="CC782" s="108"/>
      <c r="CD782" s="108"/>
      <c r="CE782" s="108"/>
      <c r="CF782" s="108"/>
      <c r="CG782" s="108"/>
      <c r="CH782" s="108"/>
      <c r="CI782" s="108"/>
      <c r="CJ782" s="108"/>
      <c r="CK782" s="108"/>
      <c r="CL782" s="108"/>
      <c r="CM782" s="108"/>
      <c r="CN782" s="110"/>
      <c r="CO782" s="111"/>
      <c r="CP782" s="110"/>
      <c r="CQ782" s="111"/>
      <c r="CR782" s="110"/>
      <c r="CS782" s="111"/>
      <c r="CT782" s="112">
        <f t="shared" si="197"/>
        <v>0</v>
      </c>
      <c r="CU782" s="113"/>
      <c r="CV782" s="114"/>
      <c r="CW782" s="115"/>
      <c r="CX782" s="116"/>
      <c r="CY782" s="117"/>
      <c r="CZ782" s="116"/>
      <c r="DA782" s="113"/>
      <c r="DB782" s="114"/>
      <c r="DC782" s="64"/>
      <c r="DD782" s="118"/>
    </row>
    <row r="783" spans="1:108" s="119" customFormat="1" outlineLevel="2">
      <c r="A783" s="178">
        <v>40487</v>
      </c>
      <c r="B783" s="164" t="s">
        <v>952</v>
      </c>
      <c r="C783" s="164" t="s">
        <v>779</v>
      </c>
      <c r="D783" s="166" t="s">
        <v>1262</v>
      </c>
      <c r="E783" s="163"/>
      <c r="F783" s="105"/>
      <c r="G783" s="105"/>
      <c r="H783" s="105">
        <v>50</v>
      </c>
      <c r="I783" s="105">
        <v>10</v>
      </c>
      <c r="J783" s="105"/>
      <c r="K783" s="105">
        <v>10</v>
      </c>
      <c r="L783" s="105"/>
      <c r="M783" s="105"/>
      <c r="N783" s="105"/>
      <c r="O783" s="105"/>
      <c r="P783" s="105"/>
      <c r="Q783" s="105"/>
      <c r="R783" s="105"/>
      <c r="S783" s="105"/>
      <c r="T783" s="106"/>
      <c r="U783" s="130"/>
      <c r="V783" s="1"/>
      <c r="W783" s="68">
        <f t="shared" ref="W783:W814" si="198">CT783</f>
        <v>0</v>
      </c>
      <c r="X783" s="68">
        <f t="shared" ref="X783:X814" si="199">CX783</f>
        <v>0</v>
      </c>
      <c r="Y783" s="68">
        <f t="shared" ref="Y783:Y814" si="200">CZ783+DB783</f>
        <v>0</v>
      </c>
      <c r="Z783" s="68">
        <f t="shared" ref="Z783:Z814" si="201">CV783</f>
        <v>0</v>
      </c>
      <c r="AA783" s="68"/>
      <c r="AB783" s="68">
        <v>0</v>
      </c>
      <c r="AC783" s="69">
        <f t="shared" ref="AC783:AC814" si="202">W783+X783+Y783+Z783+AA783+AB783</f>
        <v>0</v>
      </c>
      <c r="AD783" s="70">
        <v>0</v>
      </c>
      <c r="AE783" s="63">
        <v>40483</v>
      </c>
      <c r="AF783" s="72"/>
      <c r="AG783" s="63" t="s">
        <v>938</v>
      </c>
      <c r="AH783" s="23" t="s">
        <v>939</v>
      </c>
      <c r="AI783" s="60"/>
      <c r="AJ783" s="124" t="s">
        <v>1608</v>
      </c>
      <c r="AK783" s="121" t="s">
        <v>41</v>
      </c>
      <c r="AL783" s="107"/>
      <c r="AM783" s="108"/>
      <c r="AN783" s="109"/>
      <c r="AO783" s="108"/>
      <c r="AP783" s="108"/>
      <c r="AQ783" s="108"/>
      <c r="AR783" s="108"/>
      <c r="AS783" s="108"/>
      <c r="AT783" s="108"/>
      <c r="AU783" s="108"/>
      <c r="AV783" s="108"/>
      <c r="AW783" s="108"/>
      <c r="AX783" s="108"/>
      <c r="AY783" s="108"/>
      <c r="AZ783" s="108"/>
      <c r="BA783" s="108"/>
      <c r="BB783" s="108"/>
      <c r="BC783" s="108"/>
      <c r="BD783" s="108"/>
      <c r="BE783" s="108"/>
      <c r="BF783" s="108"/>
      <c r="BG783" s="108"/>
      <c r="BH783" s="108"/>
      <c r="BI783" s="108"/>
      <c r="BJ783" s="108"/>
      <c r="BK783" s="108"/>
      <c r="BL783" s="108"/>
      <c r="BM783" s="108"/>
      <c r="BN783" s="108"/>
      <c r="BO783" s="108"/>
      <c r="BP783" s="108"/>
      <c r="BQ783" s="108"/>
      <c r="BR783" s="108"/>
      <c r="BS783" s="108"/>
      <c r="BT783" s="108"/>
      <c r="BU783" s="108"/>
      <c r="BV783" s="108"/>
      <c r="BW783" s="108"/>
      <c r="BX783" s="108"/>
      <c r="BY783" s="108"/>
      <c r="BZ783" s="108"/>
      <c r="CA783" s="108"/>
      <c r="CB783" s="108"/>
      <c r="CC783" s="108"/>
      <c r="CD783" s="108"/>
      <c r="CE783" s="108"/>
      <c r="CF783" s="108"/>
      <c r="CG783" s="108"/>
      <c r="CH783" s="108"/>
      <c r="CI783" s="108"/>
      <c r="CJ783" s="108"/>
      <c r="CK783" s="108"/>
      <c r="CL783" s="108"/>
      <c r="CM783" s="108"/>
      <c r="CN783" s="110"/>
      <c r="CO783" s="111"/>
      <c r="CP783" s="110"/>
      <c r="CQ783" s="111"/>
      <c r="CR783" s="110"/>
      <c r="CS783" s="111"/>
      <c r="CT783" s="112">
        <f t="shared" ref="CT783:CT814" si="203">AM783+AO783+AQ783+AS783+AU783+AW783+AY783+BA783+BC783+BE783+BG783+BI783+BK783+BM783+BO783+BQ783+BS783+BU783+BW783+BY783+CA783+CC783+CE783+CG783+CI783+CK783+CM783+CO783+CQ783+CS783</f>
        <v>0</v>
      </c>
      <c r="CU783" s="113"/>
      <c r="CV783" s="114"/>
      <c r="CW783" s="115"/>
      <c r="CX783" s="116"/>
      <c r="CY783" s="117"/>
      <c r="CZ783" s="116"/>
      <c r="DA783" s="113"/>
      <c r="DB783" s="114"/>
      <c r="DC783" s="64"/>
      <c r="DD783" s="118"/>
    </row>
    <row r="784" spans="1:108" s="119" customFormat="1" ht="22.5" outlineLevel="2">
      <c r="A784" s="178">
        <v>40488</v>
      </c>
      <c r="B784" s="164" t="s">
        <v>952</v>
      </c>
      <c r="C784" s="164" t="s">
        <v>1710</v>
      </c>
      <c r="D784" s="166" t="s">
        <v>1262</v>
      </c>
      <c r="E784" s="163"/>
      <c r="F784" s="105"/>
      <c r="G784" s="105"/>
      <c r="H784" s="105">
        <v>15</v>
      </c>
      <c r="I784" s="105">
        <v>3</v>
      </c>
      <c r="J784" s="105"/>
      <c r="K784" s="105">
        <v>3</v>
      </c>
      <c r="L784" s="105"/>
      <c r="M784" s="105"/>
      <c r="N784" s="105"/>
      <c r="O784" s="105"/>
      <c r="P784" s="105"/>
      <c r="Q784" s="105"/>
      <c r="R784" s="105"/>
      <c r="S784" s="105"/>
      <c r="T784" s="106"/>
      <c r="U784" s="130"/>
      <c r="V784" s="1"/>
      <c r="W784" s="68">
        <f t="shared" si="198"/>
        <v>0</v>
      </c>
      <c r="X784" s="68">
        <f t="shared" si="199"/>
        <v>0</v>
      </c>
      <c r="Y784" s="68">
        <f t="shared" si="200"/>
        <v>0</v>
      </c>
      <c r="Z784" s="68">
        <f t="shared" si="201"/>
        <v>0</v>
      </c>
      <c r="AA784" s="68"/>
      <c r="AB784" s="68">
        <v>0</v>
      </c>
      <c r="AC784" s="69">
        <f t="shared" si="202"/>
        <v>0</v>
      </c>
      <c r="AD784" s="70">
        <v>0</v>
      </c>
      <c r="AE784" s="63">
        <v>40492</v>
      </c>
      <c r="AF784" s="72"/>
      <c r="AG784" s="63" t="s">
        <v>938</v>
      </c>
      <c r="AH784" s="23" t="s">
        <v>939</v>
      </c>
      <c r="AI784" s="60"/>
      <c r="AJ784" s="124" t="s">
        <v>1608</v>
      </c>
      <c r="AK784" s="121" t="s">
        <v>521</v>
      </c>
      <c r="AL784" s="107"/>
      <c r="AM784" s="108"/>
      <c r="AN784" s="109"/>
      <c r="AO784" s="108"/>
      <c r="AP784" s="108"/>
      <c r="AQ784" s="108"/>
      <c r="AR784" s="108"/>
      <c r="AS784" s="108"/>
      <c r="AT784" s="108"/>
      <c r="AU784" s="108"/>
      <c r="AV784" s="108"/>
      <c r="AW784" s="108"/>
      <c r="AX784" s="108"/>
      <c r="AY784" s="108"/>
      <c r="AZ784" s="108"/>
      <c r="BA784" s="108"/>
      <c r="BB784" s="108"/>
      <c r="BC784" s="108"/>
      <c r="BD784" s="108"/>
      <c r="BE784" s="108"/>
      <c r="BF784" s="108"/>
      <c r="BG784" s="108"/>
      <c r="BH784" s="108"/>
      <c r="BI784" s="108"/>
      <c r="BJ784" s="108"/>
      <c r="BK784" s="108"/>
      <c r="BL784" s="108"/>
      <c r="BM784" s="108"/>
      <c r="BN784" s="108"/>
      <c r="BO784" s="108"/>
      <c r="BP784" s="108"/>
      <c r="BQ784" s="108"/>
      <c r="BR784" s="108"/>
      <c r="BS784" s="108"/>
      <c r="BT784" s="108"/>
      <c r="BU784" s="108"/>
      <c r="BV784" s="108"/>
      <c r="BW784" s="108"/>
      <c r="BX784" s="108"/>
      <c r="BY784" s="108"/>
      <c r="BZ784" s="108"/>
      <c r="CA784" s="108"/>
      <c r="CB784" s="108"/>
      <c r="CC784" s="108"/>
      <c r="CD784" s="108"/>
      <c r="CE784" s="108"/>
      <c r="CF784" s="108"/>
      <c r="CG784" s="108"/>
      <c r="CH784" s="108"/>
      <c r="CI784" s="108"/>
      <c r="CJ784" s="108"/>
      <c r="CK784" s="108"/>
      <c r="CL784" s="108"/>
      <c r="CM784" s="108"/>
      <c r="CN784" s="110"/>
      <c r="CO784" s="111"/>
      <c r="CP784" s="110"/>
      <c r="CQ784" s="111"/>
      <c r="CR784" s="110"/>
      <c r="CS784" s="111"/>
      <c r="CT784" s="112">
        <f t="shared" si="203"/>
        <v>0</v>
      </c>
      <c r="CU784" s="113"/>
      <c r="CV784" s="114"/>
      <c r="CW784" s="115"/>
      <c r="CX784" s="116"/>
      <c r="CY784" s="117"/>
      <c r="CZ784" s="116"/>
      <c r="DA784" s="113"/>
      <c r="DB784" s="114"/>
      <c r="DC784" s="64"/>
      <c r="DD784" s="118"/>
    </row>
    <row r="785" spans="1:108" s="119" customFormat="1" ht="24" outlineLevel="2">
      <c r="A785" s="178">
        <v>40488</v>
      </c>
      <c r="B785" s="164" t="s">
        <v>952</v>
      </c>
      <c r="C785" s="164" t="s">
        <v>2377</v>
      </c>
      <c r="D785" s="165" t="s">
        <v>1182</v>
      </c>
      <c r="E785" s="163"/>
      <c r="F785" s="105"/>
      <c r="G785" s="105"/>
      <c r="H785" s="105">
        <v>28</v>
      </c>
      <c r="I785" s="105">
        <v>6</v>
      </c>
      <c r="J785" s="105"/>
      <c r="K785" s="105">
        <v>6</v>
      </c>
      <c r="L785" s="105"/>
      <c r="M785" s="105"/>
      <c r="N785" s="105"/>
      <c r="O785" s="105"/>
      <c r="P785" s="105"/>
      <c r="Q785" s="105"/>
      <c r="R785" s="105"/>
      <c r="S785" s="105"/>
      <c r="T785" s="106"/>
      <c r="U785" s="130"/>
      <c r="V785" s="1"/>
      <c r="W785" s="68">
        <f t="shared" si="198"/>
        <v>0</v>
      </c>
      <c r="X785" s="68">
        <f t="shared" si="199"/>
        <v>0</v>
      </c>
      <c r="Y785" s="68">
        <f t="shared" si="200"/>
        <v>0</v>
      </c>
      <c r="Z785" s="68">
        <f t="shared" si="201"/>
        <v>0</v>
      </c>
      <c r="AA785" s="68"/>
      <c r="AB785" s="68">
        <v>0</v>
      </c>
      <c r="AC785" s="69">
        <f t="shared" si="202"/>
        <v>0</v>
      </c>
      <c r="AD785" s="70">
        <v>0</v>
      </c>
      <c r="AE785" s="63">
        <v>40492</v>
      </c>
      <c r="AF785" s="72"/>
      <c r="AG785" s="63" t="s">
        <v>938</v>
      </c>
      <c r="AH785" s="23" t="s">
        <v>939</v>
      </c>
      <c r="AI785" s="60"/>
      <c r="AJ785" s="124" t="s">
        <v>1608</v>
      </c>
      <c r="AK785" s="121" t="s">
        <v>520</v>
      </c>
      <c r="AL785" s="107"/>
      <c r="AM785" s="108"/>
      <c r="AN785" s="109"/>
      <c r="AO785" s="108"/>
      <c r="AP785" s="108"/>
      <c r="AQ785" s="108"/>
      <c r="AR785" s="108"/>
      <c r="AS785" s="108"/>
      <c r="AT785" s="108"/>
      <c r="AU785" s="108"/>
      <c r="AV785" s="108"/>
      <c r="AW785" s="108"/>
      <c r="AX785" s="108"/>
      <c r="AY785" s="108"/>
      <c r="AZ785" s="108"/>
      <c r="BA785" s="108"/>
      <c r="BB785" s="108"/>
      <c r="BC785" s="108"/>
      <c r="BD785" s="108"/>
      <c r="BE785" s="108"/>
      <c r="BF785" s="108"/>
      <c r="BG785" s="108"/>
      <c r="BH785" s="108"/>
      <c r="BI785" s="108"/>
      <c r="BJ785" s="108"/>
      <c r="BK785" s="108"/>
      <c r="BL785" s="108"/>
      <c r="BM785" s="108"/>
      <c r="BN785" s="108"/>
      <c r="BO785" s="108"/>
      <c r="BP785" s="108"/>
      <c r="BQ785" s="108"/>
      <c r="BR785" s="108"/>
      <c r="BS785" s="108"/>
      <c r="BT785" s="108"/>
      <c r="BU785" s="108"/>
      <c r="BV785" s="108"/>
      <c r="BW785" s="108"/>
      <c r="BX785" s="108"/>
      <c r="BY785" s="108"/>
      <c r="BZ785" s="108"/>
      <c r="CA785" s="108"/>
      <c r="CB785" s="108"/>
      <c r="CC785" s="108"/>
      <c r="CD785" s="108"/>
      <c r="CE785" s="108"/>
      <c r="CF785" s="108"/>
      <c r="CG785" s="108"/>
      <c r="CH785" s="108"/>
      <c r="CI785" s="108"/>
      <c r="CJ785" s="108"/>
      <c r="CK785" s="108"/>
      <c r="CL785" s="108"/>
      <c r="CM785" s="108"/>
      <c r="CN785" s="110"/>
      <c r="CO785" s="111"/>
      <c r="CP785" s="110"/>
      <c r="CQ785" s="111"/>
      <c r="CR785" s="110"/>
      <c r="CS785" s="111"/>
      <c r="CT785" s="112">
        <f t="shared" si="203"/>
        <v>0</v>
      </c>
      <c r="CU785" s="113"/>
      <c r="CV785" s="114"/>
      <c r="CW785" s="115"/>
      <c r="CX785" s="116"/>
      <c r="CY785" s="117"/>
      <c r="CZ785" s="116"/>
      <c r="DA785" s="113"/>
      <c r="DB785" s="114"/>
      <c r="DC785" s="64"/>
      <c r="DD785" s="118"/>
    </row>
    <row r="786" spans="1:108" s="119" customFormat="1" ht="48" outlineLevel="2">
      <c r="A786" s="178">
        <v>40488</v>
      </c>
      <c r="B786" s="164" t="s">
        <v>952</v>
      </c>
      <c r="C786" s="164" t="s">
        <v>1659</v>
      </c>
      <c r="D786" s="166" t="s">
        <v>1262</v>
      </c>
      <c r="E786" s="163"/>
      <c r="F786" s="105"/>
      <c r="G786" s="105"/>
      <c r="H786" s="105">
        <v>1085</v>
      </c>
      <c r="I786" s="105">
        <v>200</v>
      </c>
      <c r="J786" s="105"/>
      <c r="K786" s="105">
        <v>200</v>
      </c>
      <c r="L786" s="105"/>
      <c r="M786" s="105"/>
      <c r="N786" s="105"/>
      <c r="O786" s="105"/>
      <c r="P786" s="105"/>
      <c r="Q786" s="105"/>
      <c r="R786" s="105">
        <v>1</v>
      </c>
      <c r="S786" s="105"/>
      <c r="T786" s="106"/>
      <c r="U786" s="130"/>
      <c r="V786" s="1"/>
      <c r="W786" s="68">
        <f t="shared" si="198"/>
        <v>0</v>
      </c>
      <c r="X786" s="68">
        <f t="shared" si="199"/>
        <v>0</v>
      </c>
      <c r="Y786" s="68">
        <f t="shared" si="200"/>
        <v>0</v>
      </c>
      <c r="Z786" s="68">
        <f t="shared" si="201"/>
        <v>0</v>
      </c>
      <c r="AA786" s="68"/>
      <c r="AB786" s="68">
        <v>0</v>
      </c>
      <c r="AC786" s="69">
        <f t="shared" si="202"/>
        <v>0</v>
      </c>
      <c r="AD786" s="70">
        <v>0</v>
      </c>
      <c r="AE786" s="63">
        <v>40492</v>
      </c>
      <c r="AF786" s="72"/>
      <c r="AG786" s="63" t="s">
        <v>938</v>
      </c>
      <c r="AH786" s="23" t="s">
        <v>939</v>
      </c>
      <c r="AI786" s="60"/>
      <c r="AJ786" s="124" t="s">
        <v>1608</v>
      </c>
      <c r="AK786" s="121" t="s">
        <v>81</v>
      </c>
      <c r="AL786" s="107"/>
      <c r="AM786" s="108"/>
      <c r="AN786" s="109"/>
      <c r="AO786" s="108"/>
      <c r="AP786" s="108"/>
      <c r="AQ786" s="108"/>
      <c r="AR786" s="108"/>
      <c r="AS786" s="108"/>
      <c r="AT786" s="108"/>
      <c r="AU786" s="108"/>
      <c r="AV786" s="108"/>
      <c r="AW786" s="108"/>
      <c r="AX786" s="108"/>
      <c r="AY786" s="108"/>
      <c r="AZ786" s="108"/>
      <c r="BA786" s="108"/>
      <c r="BB786" s="108"/>
      <c r="BC786" s="108"/>
      <c r="BD786" s="108"/>
      <c r="BE786" s="108"/>
      <c r="BF786" s="108"/>
      <c r="BG786" s="108"/>
      <c r="BH786" s="108"/>
      <c r="BI786" s="108"/>
      <c r="BJ786" s="108"/>
      <c r="BK786" s="108"/>
      <c r="BL786" s="108"/>
      <c r="BM786" s="108"/>
      <c r="BN786" s="108"/>
      <c r="BO786" s="108"/>
      <c r="BP786" s="108"/>
      <c r="BQ786" s="108"/>
      <c r="BR786" s="108"/>
      <c r="BS786" s="108"/>
      <c r="BT786" s="108"/>
      <c r="BU786" s="108"/>
      <c r="BV786" s="108"/>
      <c r="BW786" s="108"/>
      <c r="BX786" s="108"/>
      <c r="BY786" s="108"/>
      <c r="BZ786" s="108"/>
      <c r="CA786" s="108"/>
      <c r="CB786" s="108"/>
      <c r="CC786" s="108"/>
      <c r="CD786" s="108"/>
      <c r="CE786" s="108"/>
      <c r="CF786" s="108"/>
      <c r="CG786" s="108"/>
      <c r="CH786" s="108"/>
      <c r="CI786" s="108"/>
      <c r="CJ786" s="108"/>
      <c r="CK786" s="108"/>
      <c r="CL786" s="108"/>
      <c r="CM786" s="108"/>
      <c r="CN786" s="110"/>
      <c r="CO786" s="111"/>
      <c r="CP786" s="110"/>
      <c r="CQ786" s="111"/>
      <c r="CR786" s="110"/>
      <c r="CS786" s="111"/>
      <c r="CT786" s="112">
        <f t="shared" si="203"/>
        <v>0</v>
      </c>
      <c r="CU786" s="113"/>
      <c r="CV786" s="114"/>
      <c r="CW786" s="115"/>
      <c r="CX786" s="116"/>
      <c r="CY786" s="117"/>
      <c r="CZ786" s="116"/>
      <c r="DA786" s="113"/>
      <c r="DB786" s="114"/>
      <c r="DC786" s="64"/>
      <c r="DD786" s="118"/>
    </row>
    <row r="787" spans="1:108" s="119" customFormat="1" ht="36" outlineLevel="2">
      <c r="A787" s="178">
        <v>40489</v>
      </c>
      <c r="B787" s="164" t="s">
        <v>952</v>
      </c>
      <c r="C787" s="164" t="s">
        <v>1681</v>
      </c>
      <c r="D787" s="166" t="s">
        <v>1262</v>
      </c>
      <c r="E787" s="163"/>
      <c r="F787" s="105"/>
      <c r="G787" s="105"/>
      <c r="H787" s="105">
        <v>95</v>
      </c>
      <c r="I787" s="105">
        <v>21</v>
      </c>
      <c r="J787" s="105"/>
      <c r="K787" s="105">
        <v>21</v>
      </c>
      <c r="L787" s="105"/>
      <c r="M787" s="105"/>
      <c r="N787" s="105"/>
      <c r="O787" s="105"/>
      <c r="P787" s="105"/>
      <c r="Q787" s="105"/>
      <c r="R787" s="105"/>
      <c r="S787" s="105"/>
      <c r="T787" s="106"/>
      <c r="U787" s="130"/>
      <c r="V787" s="1"/>
      <c r="W787" s="68">
        <f t="shared" si="198"/>
        <v>0</v>
      </c>
      <c r="X787" s="68">
        <f t="shared" si="199"/>
        <v>0</v>
      </c>
      <c r="Y787" s="68">
        <f t="shared" si="200"/>
        <v>0</v>
      </c>
      <c r="Z787" s="68">
        <f t="shared" si="201"/>
        <v>0</v>
      </c>
      <c r="AA787" s="68"/>
      <c r="AB787" s="68">
        <v>0</v>
      </c>
      <c r="AC787" s="69">
        <f t="shared" si="202"/>
        <v>0</v>
      </c>
      <c r="AD787" s="70">
        <v>0</v>
      </c>
      <c r="AE787" s="63">
        <v>40492</v>
      </c>
      <c r="AF787" s="72"/>
      <c r="AG787" s="63" t="s">
        <v>938</v>
      </c>
      <c r="AH787" s="23" t="s">
        <v>939</v>
      </c>
      <c r="AI787" s="60"/>
      <c r="AJ787" s="124" t="s">
        <v>1608</v>
      </c>
      <c r="AK787" s="121" t="s">
        <v>549</v>
      </c>
      <c r="AL787" s="107"/>
      <c r="AM787" s="108"/>
      <c r="AN787" s="109"/>
      <c r="AO787" s="108"/>
      <c r="AP787" s="108"/>
      <c r="AQ787" s="108"/>
      <c r="AR787" s="108"/>
      <c r="AS787" s="108"/>
      <c r="AT787" s="108"/>
      <c r="AU787" s="108"/>
      <c r="AV787" s="108"/>
      <c r="AW787" s="108"/>
      <c r="AX787" s="108"/>
      <c r="AY787" s="108"/>
      <c r="AZ787" s="108"/>
      <c r="BA787" s="108"/>
      <c r="BB787" s="108"/>
      <c r="BC787" s="108"/>
      <c r="BD787" s="108"/>
      <c r="BE787" s="108"/>
      <c r="BF787" s="108"/>
      <c r="BG787" s="108"/>
      <c r="BH787" s="108"/>
      <c r="BI787" s="108"/>
      <c r="BJ787" s="108"/>
      <c r="BK787" s="108"/>
      <c r="BL787" s="108"/>
      <c r="BM787" s="108"/>
      <c r="BN787" s="108"/>
      <c r="BO787" s="108"/>
      <c r="BP787" s="108"/>
      <c r="BQ787" s="108"/>
      <c r="BR787" s="108"/>
      <c r="BS787" s="108"/>
      <c r="BT787" s="108"/>
      <c r="BU787" s="108"/>
      <c r="BV787" s="108"/>
      <c r="BW787" s="108"/>
      <c r="BX787" s="108"/>
      <c r="BY787" s="108"/>
      <c r="BZ787" s="108"/>
      <c r="CA787" s="108"/>
      <c r="CB787" s="108"/>
      <c r="CC787" s="108"/>
      <c r="CD787" s="108"/>
      <c r="CE787" s="108"/>
      <c r="CF787" s="108"/>
      <c r="CG787" s="108"/>
      <c r="CH787" s="108"/>
      <c r="CI787" s="108"/>
      <c r="CJ787" s="108"/>
      <c r="CK787" s="108"/>
      <c r="CL787" s="108"/>
      <c r="CM787" s="108"/>
      <c r="CN787" s="110"/>
      <c r="CO787" s="111"/>
      <c r="CP787" s="110"/>
      <c r="CQ787" s="111"/>
      <c r="CR787" s="110"/>
      <c r="CS787" s="111"/>
      <c r="CT787" s="112">
        <f t="shared" si="203"/>
        <v>0</v>
      </c>
      <c r="CU787" s="113"/>
      <c r="CV787" s="114"/>
      <c r="CW787" s="115"/>
      <c r="CX787" s="116"/>
      <c r="CY787" s="117"/>
      <c r="CZ787" s="116"/>
      <c r="DA787" s="113"/>
      <c r="DB787" s="114"/>
      <c r="DC787" s="64"/>
      <c r="DD787" s="118"/>
    </row>
    <row r="788" spans="1:108" s="119" customFormat="1" ht="48" outlineLevel="2">
      <c r="A788" s="178">
        <v>40490</v>
      </c>
      <c r="B788" s="164" t="s">
        <v>952</v>
      </c>
      <c r="C788" s="164" t="s">
        <v>494</v>
      </c>
      <c r="D788" s="166" t="s">
        <v>1262</v>
      </c>
      <c r="E788" s="163"/>
      <c r="F788" s="105"/>
      <c r="G788" s="105"/>
      <c r="H788" s="105"/>
      <c r="I788" s="105"/>
      <c r="J788" s="105"/>
      <c r="K788" s="105"/>
      <c r="L788" s="105"/>
      <c r="M788" s="105"/>
      <c r="N788" s="105"/>
      <c r="O788" s="105"/>
      <c r="P788" s="105"/>
      <c r="Q788" s="105"/>
      <c r="R788" s="105"/>
      <c r="S788" s="105"/>
      <c r="T788" s="106"/>
      <c r="U788" s="130"/>
      <c r="V788" s="1"/>
      <c r="W788" s="68">
        <f t="shared" si="198"/>
        <v>0</v>
      </c>
      <c r="X788" s="68">
        <f t="shared" si="199"/>
        <v>0</v>
      </c>
      <c r="Y788" s="68">
        <f t="shared" si="200"/>
        <v>0</v>
      </c>
      <c r="Z788" s="68">
        <f t="shared" si="201"/>
        <v>0</v>
      </c>
      <c r="AA788" s="68"/>
      <c r="AB788" s="68">
        <v>0</v>
      </c>
      <c r="AC788" s="69">
        <f t="shared" si="202"/>
        <v>0</v>
      </c>
      <c r="AD788" s="70">
        <v>0</v>
      </c>
      <c r="AE788" s="63">
        <v>40491</v>
      </c>
      <c r="AF788" s="72"/>
      <c r="AG788" s="63" t="s">
        <v>938</v>
      </c>
      <c r="AH788" s="23" t="s">
        <v>939</v>
      </c>
      <c r="AI788" s="60"/>
      <c r="AJ788" s="124" t="s">
        <v>1608</v>
      </c>
      <c r="AK788" s="121" t="s">
        <v>495</v>
      </c>
      <c r="AL788" s="107"/>
      <c r="AM788" s="108"/>
      <c r="AN788" s="109"/>
      <c r="AO788" s="108"/>
      <c r="AP788" s="108"/>
      <c r="AQ788" s="108"/>
      <c r="AR788" s="108"/>
      <c r="AS788" s="108"/>
      <c r="AT788" s="108"/>
      <c r="AU788" s="108"/>
      <c r="AV788" s="108"/>
      <c r="AW788" s="108"/>
      <c r="AX788" s="108"/>
      <c r="AY788" s="108"/>
      <c r="AZ788" s="108"/>
      <c r="BA788" s="108"/>
      <c r="BB788" s="108"/>
      <c r="BC788" s="108"/>
      <c r="BD788" s="108"/>
      <c r="BE788" s="108"/>
      <c r="BF788" s="108"/>
      <c r="BG788" s="108"/>
      <c r="BH788" s="108"/>
      <c r="BI788" s="108"/>
      <c r="BJ788" s="108"/>
      <c r="BK788" s="108"/>
      <c r="BL788" s="108"/>
      <c r="BM788" s="108"/>
      <c r="BN788" s="108"/>
      <c r="BO788" s="108"/>
      <c r="BP788" s="108"/>
      <c r="BQ788" s="108"/>
      <c r="BR788" s="108"/>
      <c r="BS788" s="108"/>
      <c r="BT788" s="108"/>
      <c r="BU788" s="108"/>
      <c r="BV788" s="108"/>
      <c r="BW788" s="108"/>
      <c r="BX788" s="108"/>
      <c r="BY788" s="108"/>
      <c r="BZ788" s="108"/>
      <c r="CA788" s="108"/>
      <c r="CB788" s="108"/>
      <c r="CC788" s="108"/>
      <c r="CD788" s="108"/>
      <c r="CE788" s="108"/>
      <c r="CF788" s="108"/>
      <c r="CG788" s="108"/>
      <c r="CH788" s="108"/>
      <c r="CI788" s="108"/>
      <c r="CJ788" s="108"/>
      <c r="CK788" s="108"/>
      <c r="CL788" s="108"/>
      <c r="CM788" s="108"/>
      <c r="CN788" s="110"/>
      <c r="CO788" s="111"/>
      <c r="CP788" s="110"/>
      <c r="CQ788" s="111"/>
      <c r="CR788" s="110"/>
      <c r="CS788" s="111"/>
      <c r="CT788" s="112">
        <f t="shared" si="203"/>
        <v>0</v>
      </c>
      <c r="CU788" s="113"/>
      <c r="CV788" s="114"/>
      <c r="CW788" s="115"/>
      <c r="CX788" s="116"/>
      <c r="CY788" s="117"/>
      <c r="CZ788" s="116"/>
      <c r="DA788" s="113"/>
      <c r="DB788" s="114"/>
      <c r="DC788" s="64"/>
      <c r="DD788" s="118"/>
    </row>
    <row r="789" spans="1:108" s="148" customFormat="1" ht="84" outlineLevel="2">
      <c r="A789" s="178">
        <v>40493</v>
      </c>
      <c r="B789" s="164" t="s">
        <v>952</v>
      </c>
      <c r="C789" s="164" t="s">
        <v>1146</v>
      </c>
      <c r="D789" s="166" t="s">
        <v>1262</v>
      </c>
      <c r="E789" s="163"/>
      <c r="F789" s="105"/>
      <c r="G789" s="105"/>
      <c r="H789" s="105">
        <f>320+145</f>
        <v>465</v>
      </c>
      <c r="I789" s="105">
        <f>64+39</f>
        <v>103</v>
      </c>
      <c r="J789" s="105"/>
      <c r="K789" s="105">
        <f>64+39</f>
        <v>103</v>
      </c>
      <c r="L789" s="105"/>
      <c r="M789" s="105"/>
      <c r="N789" s="105"/>
      <c r="O789" s="105"/>
      <c r="P789" s="105"/>
      <c r="Q789" s="105"/>
      <c r="R789" s="105"/>
      <c r="S789" s="105"/>
      <c r="T789" s="106"/>
      <c r="U789" s="130"/>
      <c r="V789" s="1"/>
      <c r="W789" s="68">
        <f t="shared" si="198"/>
        <v>0</v>
      </c>
      <c r="X789" s="68">
        <f t="shared" si="199"/>
        <v>0</v>
      </c>
      <c r="Y789" s="68">
        <f t="shared" si="200"/>
        <v>0</v>
      </c>
      <c r="Z789" s="68">
        <f t="shared" si="201"/>
        <v>0</v>
      </c>
      <c r="AA789" s="68"/>
      <c r="AB789" s="68">
        <v>0</v>
      </c>
      <c r="AC789" s="69">
        <f t="shared" si="202"/>
        <v>0</v>
      </c>
      <c r="AD789" s="70">
        <v>0</v>
      </c>
      <c r="AE789" s="63">
        <v>40497</v>
      </c>
      <c r="AF789" s="72"/>
      <c r="AG789" s="63" t="s">
        <v>938</v>
      </c>
      <c r="AH789" s="23" t="s">
        <v>939</v>
      </c>
      <c r="AI789" s="60"/>
      <c r="AJ789" s="124" t="s">
        <v>1608</v>
      </c>
      <c r="AK789" s="121" t="s">
        <v>37</v>
      </c>
      <c r="AL789" s="107"/>
      <c r="AM789" s="108"/>
      <c r="AN789" s="109"/>
      <c r="AO789" s="108"/>
      <c r="AP789" s="108"/>
      <c r="AQ789" s="108"/>
      <c r="AR789" s="108"/>
      <c r="AS789" s="108"/>
      <c r="AT789" s="108"/>
      <c r="AU789" s="108"/>
      <c r="AV789" s="108"/>
      <c r="AW789" s="108"/>
      <c r="AX789" s="108"/>
      <c r="AY789" s="108"/>
      <c r="AZ789" s="108"/>
      <c r="BA789" s="108"/>
      <c r="BB789" s="108"/>
      <c r="BC789" s="108"/>
      <c r="BD789" s="108"/>
      <c r="BE789" s="108"/>
      <c r="BF789" s="108"/>
      <c r="BG789" s="108"/>
      <c r="BH789" s="108"/>
      <c r="BI789" s="108"/>
      <c r="BJ789" s="108"/>
      <c r="BK789" s="108"/>
      <c r="BL789" s="108"/>
      <c r="BM789" s="108"/>
      <c r="BN789" s="108"/>
      <c r="BO789" s="108"/>
      <c r="BP789" s="108"/>
      <c r="BQ789" s="108"/>
      <c r="BR789" s="108"/>
      <c r="BS789" s="108"/>
      <c r="BT789" s="108"/>
      <c r="BU789" s="108"/>
      <c r="BV789" s="108"/>
      <c r="BW789" s="108"/>
      <c r="BX789" s="108"/>
      <c r="BY789" s="108"/>
      <c r="BZ789" s="108"/>
      <c r="CA789" s="108"/>
      <c r="CB789" s="108"/>
      <c r="CC789" s="108"/>
      <c r="CD789" s="108"/>
      <c r="CE789" s="108"/>
      <c r="CF789" s="108"/>
      <c r="CG789" s="108"/>
      <c r="CH789" s="108"/>
      <c r="CI789" s="108"/>
      <c r="CJ789" s="108"/>
      <c r="CK789" s="108"/>
      <c r="CL789" s="108"/>
      <c r="CM789" s="108"/>
      <c r="CN789" s="110"/>
      <c r="CO789" s="111"/>
      <c r="CP789" s="110"/>
      <c r="CQ789" s="111"/>
      <c r="CR789" s="110"/>
      <c r="CS789" s="111"/>
      <c r="CT789" s="112">
        <f t="shared" si="203"/>
        <v>0</v>
      </c>
      <c r="CU789" s="113"/>
      <c r="CV789" s="114"/>
      <c r="CW789" s="115"/>
      <c r="CX789" s="116"/>
      <c r="CY789" s="117"/>
      <c r="CZ789" s="116"/>
      <c r="DA789" s="113"/>
      <c r="DB789" s="114"/>
      <c r="DC789" s="64"/>
      <c r="DD789" s="118"/>
    </row>
    <row r="790" spans="1:108" s="119" customFormat="1" ht="48" outlineLevel="2">
      <c r="A790" s="178">
        <v>40495</v>
      </c>
      <c r="B790" s="164" t="s">
        <v>952</v>
      </c>
      <c r="C790" s="164" t="s">
        <v>860</v>
      </c>
      <c r="D790" s="166" t="s">
        <v>1262</v>
      </c>
      <c r="E790" s="163"/>
      <c r="F790" s="105"/>
      <c r="G790" s="105"/>
      <c r="H790" s="105">
        <v>715</v>
      </c>
      <c r="I790" s="105">
        <v>143</v>
      </c>
      <c r="J790" s="105">
        <v>3</v>
      </c>
      <c r="K790" s="105">
        <v>140</v>
      </c>
      <c r="L790" s="105"/>
      <c r="M790" s="105"/>
      <c r="N790" s="105"/>
      <c r="O790" s="105"/>
      <c r="P790" s="105"/>
      <c r="Q790" s="105"/>
      <c r="R790" s="105"/>
      <c r="S790" s="105"/>
      <c r="T790" s="106"/>
      <c r="U790" s="130"/>
      <c r="V790" s="1"/>
      <c r="W790" s="68">
        <f t="shared" si="198"/>
        <v>0</v>
      </c>
      <c r="X790" s="68">
        <f t="shared" si="199"/>
        <v>0</v>
      </c>
      <c r="Y790" s="68">
        <f t="shared" si="200"/>
        <v>0</v>
      </c>
      <c r="Z790" s="68">
        <f t="shared" si="201"/>
        <v>0</v>
      </c>
      <c r="AA790" s="68"/>
      <c r="AB790" s="68">
        <v>0</v>
      </c>
      <c r="AC790" s="69">
        <f t="shared" si="202"/>
        <v>0</v>
      </c>
      <c r="AD790" s="70">
        <v>0</v>
      </c>
      <c r="AE790" s="63">
        <v>40497</v>
      </c>
      <c r="AF790" s="72"/>
      <c r="AG790" s="63" t="s">
        <v>938</v>
      </c>
      <c r="AH790" s="23" t="s">
        <v>939</v>
      </c>
      <c r="AI790" s="60"/>
      <c r="AJ790" s="124" t="s">
        <v>1608</v>
      </c>
      <c r="AK790" s="121" t="s">
        <v>159</v>
      </c>
      <c r="AL790" s="107"/>
      <c r="AM790" s="108"/>
      <c r="AN790" s="109"/>
      <c r="AO790" s="108"/>
      <c r="AP790" s="108"/>
      <c r="AQ790" s="108"/>
      <c r="AR790" s="108"/>
      <c r="AS790" s="108"/>
      <c r="AT790" s="108"/>
      <c r="AU790" s="108"/>
      <c r="AV790" s="108"/>
      <c r="AW790" s="108"/>
      <c r="AX790" s="108"/>
      <c r="AY790" s="108"/>
      <c r="AZ790" s="108"/>
      <c r="BA790" s="108"/>
      <c r="BB790" s="108"/>
      <c r="BC790" s="108"/>
      <c r="BD790" s="108"/>
      <c r="BE790" s="108"/>
      <c r="BF790" s="108"/>
      <c r="BG790" s="108"/>
      <c r="BH790" s="108"/>
      <c r="BI790" s="108"/>
      <c r="BJ790" s="108"/>
      <c r="BK790" s="108"/>
      <c r="BL790" s="108"/>
      <c r="BM790" s="108"/>
      <c r="BN790" s="108"/>
      <c r="BO790" s="108"/>
      <c r="BP790" s="108"/>
      <c r="BQ790" s="108"/>
      <c r="BR790" s="108"/>
      <c r="BS790" s="108"/>
      <c r="BT790" s="108"/>
      <c r="BU790" s="108"/>
      <c r="BV790" s="108"/>
      <c r="BW790" s="108"/>
      <c r="BX790" s="108"/>
      <c r="BY790" s="108"/>
      <c r="BZ790" s="108"/>
      <c r="CA790" s="108"/>
      <c r="CB790" s="108"/>
      <c r="CC790" s="108"/>
      <c r="CD790" s="108"/>
      <c r="CE790" s="108"/>
      <c r="CF790" s="108"/>
      <c r="CG790" s="108"/>
      <c r="CH790" s="108"/>
      <c r="CI790" s="108"/>
      <c r="CJ790" s="108"/>
      <c r="CK790" s="108"/>
      <c r="CL790" s="108"/>
      <c r="CM790" s="108"/>
      <c r="CN790" s="110"/>
      <c r="CO790" s="111"/>
      <c r="CP790" s="110"/>
      <c r="CQ790" s="111"/>
      <c r="CR790" s="110"/>
      <c r="CS790" s="111"/>
      <c r="CT790" s="112">
        <f t="shared" si="203"/>
        <v>0</v>
      </c>
      <c r="CU790" s="113"/>
      <c r="CV790" s="114"/>
      <c r="CW790" s="115"/>
      <c r="CX790" s="116"/>
      <c r="CY790" s="117"/>
      <c r="CZ790" s="116"/>
      <c r="DA790" s="113"/>
      <c r="DB790" s="114"/>
      <c r="DC790" s="64"/>
      <c r="DD790" s="118"/>
    </row>
    <row r="791" spans="1:108" s="119" customFormat="1" ht="24" outlineLevel="2">
      <c r="A791" s="178">
        <v>40497</v>
      </c>
      <c r="B791" s="164" t="s">
        <v>952</v>
      </c>
      <c r="C791" s="164" t="s">
        <v>42</v>
      </c>
      <c r="D791" s="165" t="s">
        <v>1182</v>
      </c>
      <c r="E791" s="163"/>
      <c r="F791" s="105"/>
      <c r="G791" s="105"/>
      <c r="H791" s="105">
        <v>5</v>
      </c>
      <c r="I791" s="105">
        <v>1</v>
      </c>
      <c r="J791" s="105"/>
      <c r="K791" s="105">
        <v>1</v>
      </c>
      <c r="L791" s="105">
        <v>1</v>
      </c>
      <c r="M791" s="105"/>
      <c r="N791" s="105"/>
      <c r="O791" s="105"/>
      <c r="P791" s="105"/>
      <c r="Q791" s="105"/>
      <c r="R791" s="105"/>
      <c r="S791" s="105"/>
      <c r="T791" s="106"/>
      <c r="U791" s="130"/>
      <c r="V791" s="1"/>
      <c r="W791" s="68">
        <f t="shared" si="198"/>
        <v>0</v>
      </c>
      <c r="X791" s="68">
        <f t="shared" si="199"/>
        <v>0</v>
      </c>
      <c r="Y791" s="68">
        <f t="shared" si="200"/>
        <v>0</v>
      </c>
      <c r="Z791" s="68">
        <f t="shared" si="201"/>
        <v>0</v>
      </c>
      <c r="AA791" s="68"/>
      <c r="AB791" s="68">
        <v>0</v>
      </c>
      <c r="AC791" s="69">
        <f t="shared" si="202"/>
        <v>0</v>
      </c>
      <c r="AD791" s="70">
        <v>0</v>
      </c>
      <c r="AE791" s="63">
        <v>40498</v>
      </c>
      <c r="AF791" s="72"/>
      <c r="AG791" s="63" t="s">
        <v>938</v>
      </c>
      <c r="AH791" s="23" t="s">
        <v>939</v>
      </c>
      <c r="AI791" s="60"/>
      <c r="AJ791" s="124" t="s">
        <v>52</v>
      </c>
      <c r="AK791" s="121" t="s">
        <v>43</v>
      </c>
      <c r="AL791" s="107"/>
      <c r="AM791" s="108"/>
      <c r="AN791" s="109"/>
      <c r="AO791" s="108"/>
      <c r="AP791" s="108"/>
      <c r="AQ791" s="108"/>
      <c r="AR791" s="108"/>
      <c r="AS791" s="108"/>
      <c r="AT791" s="108"/>
      <c r="AU791" s="108"/>
      <c r="AV791" s="108"/>
      <c r="AW791" s="108"/>
      <c r="AX791" s="108"/>
      <c r="AY791" s="108"/>
      <c r="AZ791" s="108"/>
      <c r="BA791" s="108"/>
      <c r="BB791" s="108"/>
      <c r="BC791" s="108"/>
      <c r="BD791" s="108"/>
      <c r="BE791" s="108"/>
      <c r="BF791" s="108"/>
      <c r="BG791" s="108"/>
      <c r="BH791" s="108"/>
      <c r="BI791" s="108"/>
      <c r="BJ791" s="108"/>
      <c r="BK791" s="108"/>
      <c r="BL791" s="108"/>
      <c r="BM791" s="108"/>
      <c r="BN791" s="108"/>
      <c r="BO791" s="108"/>
      <c r="BP791" s="108"/>
      <c r="BQ791" s="108"/>
      <c r="BR791" s="108"/>
      <c r="BS791" s="108"/>
      <c r="BT791" s="108"/>
      <c r="BU791" s="108"/>
      <c r="BV791" s="108"/>
      <c r="BW791" s="108"/>
      <c r="BX791" s="108"/>
      <c r="BY791" s="108"/>
      <c r="BZ791" s="108"/>
      <c r="CA791" s="108"/>
      <c r="CB791" s="108"/>
      <c r="CC791" s="108"/>
      <c r="CD791" s="108"/>
      <c r="CE791" s="108"/>
      <c r="CF791" s="108"/>
      <c r="CG791" s="108"/>
      <c r="CH791" s="108"/>
      <c r="CI791" s="108"/>
      <c r="CJ791" s="108"/>
      <c r="CK791" s="108"/>
      <c r="CL791" s="108"/>
      <c r="CM791" s="108"/>
      <c r="CN791" s="110"/>
      <c r="CO791" s="111"/>
      <c r="CP791" s="110"/>
      <c r="CQ791" s="111"/>
      <c r="CR791" s="110"/>
      <c r="CS791" s="111"/>
      <c r="CT791" s="112">
        <f t="shared" si="203"/>
        <v>0</v>
      </c>
      <c r="CU791" s="113"/>
      <c r="CV791" s="114"/>
      <c r="CW791" s="115"/>
      <c r="CX791" s="116"/>
      <c r="CY791" s="117"/>
      <c r="CZ791" s="116"/>
      <c r="DA791" s="113"/>
      <c r="DB791" s="114"/>
      <c r="DC791" s="64"/>
      <c r="DD791" s="118"/>
    </row>
    <row r="792" spans="1:108" s="119" customFormat="1" ht="36" outlineLevel="2">
      <c r="A792" s="178">
        <v>40499</v>
      </c>
      <c r="B792" s="164" t="s">
        <v>952</v>
      </c>
      <c r="C792" s="164" t="s">
        <v>800</v>
      </c>
      <c r="D792" s="166" t="s">
        <v>1262</v>
      </c>
      <c r="E792" s="163"/>
      <c r="F792" s="105"/>
      <c r="G792" s="105"/>
      <c r="H792" s="105">
        <v>1800</v>
      </c>
      <c r="I792" s="105">
        <v>500</v>
      </c>
      <c r="J792" s="105"/>
      <c r="K792" s="105">
        <v>500</v>
      </c>
      <c r="L792" s="105"/>
      <c r="M792" s="105"/>
      <c r="N792" s="105"/>
      <c r="O792" s="105"/>
      <c r="P792" s="105"/>
      <c r="Q792" s="105"/>
      <c r="R792" s="105"/>
      <c r="S792" s="105"/>
      <c r="T792" s="106"/>
      <c r="U792" s="130"/>
      <c r="V792" s="1"/>
      <c r="W792" s="68">
        <f t="shared" si="198"/>
        <v>0</v>
      </c>
      <c r="X792" s="68">
        <f t="shared" si="199"/>
        <v>0</v>
      </c>
      <c r="Y792" s="68">
        <f t="shared" si="200"/>
        <v>0</v>
      </c>
      <c r="Z792" s="68">
        <f t="shared" si="201"/>
        <v>0</v>
      </c>
      <c r="AA792" s="68"/>
      <c r="AB792" s="68">
        <v>0</v>
      </c>
      <c r="AC792" s="69">
        <f t="shared" si="202"/>
        <v>0</v>
      </c>
      <c r="AD792" s="70">
        <v>0</v>
      </c>
      <c r="AE792" s="63">
        <v>40504</v>
      </c>
      <c r="AF792" s="72"/>
      <c r="AG792" s="63" t="s">
        <v>938</v>
      </c>
      <c r="AH792" s="23" t="s">
        <v>939</v>
      </c>
      <c r="AI792" s="60"/>
      <c r="AJ792" s="124" t="s">
        <v>1608</v>
      </c>
      <c r="AK792" s="121" t="s">
        <v>630</v>
      </c>
      <c r="AL792" s="107"/>
      <c r="AM792" s="108"/>
      <c r="AN792" s="109"/>
      <c r="AO792" s="108"/>
      <c r="AP792" s="108"/>
      <c r="AQ792" s="108"/>
      <c r="AR792" s="108"/>
      <c r="AS792" s="108"/>
      <c r="AT792" s="108"/>
      <c r="AU792" s="108"/>
      <c r="AV792" s="108"/>
      <c r="AW792" s="108"/>
      <c r="AX792" s="108"/>
      <c r="AY792" s="108"/>
      <c r="AZ792" s="108"/>
      <c r="BA792" s="108"/>
      <c r="BB792" s="108"/>
      <c r="BC792" s="108"/>
      <c r="BD792" s="108"/>
      <c r="BE792" s="108"/>
      <c r="BF792" s="108"/>
      <c r="BG792" s="108"/>
      <c r="BH792" s="108"/>
      <c r="BI792" s="108"/>
      <c r="BJ792" s="108"/>
      <c r="BK792" s="108"/>
      <c r="BL792" s="108"/>
      <c r="BM792" s="108"/>
      <c r="BN792" s="108"/>
      <c r="BO792" s="108"/>
      <c r="BP792" s="108"/>
      <c r="BQ792" s="108"/>
      <c r="BR792" s="108"/>
      <c r="BS792" s="108"/>
      <c r="BT792" s="108"/>
      <c r="BU792" s="108"/>
      <c r="BV792" s="108"/>
      <c r="BW792" s="108"/>
      <c r="BX792" s="108"/>
      <c r="BY792" s="108"/>
      <c r="BZ792" s="108"/>
      <c r="CA792" s="108"/>
      <c r="CB792" s="108"/>
      <c r="CC792" s="108"/>
      <c r="CD792" s="108"/>
      <c r="CE792" s="108"/>
      <c r="CF792" s="108"/>
      <c r="CG792" s="108"/>
      <c r="CH792" s="108"/>
      <c r="CI792" s="108"/>
      <c r="CJ792" s="108"/>
      <c r="CK792" s="108"/>
      <c r="CL792" s="108"/>
      <c r="CM792" s="108"/>
      <c r="CN792" s="110"/>
      <c r="CO792" s="111"/>
      <c r="CP792" s="110"/>
      <c r="CQ792" s="111"/>
      <c r="CR792" s="110"/>
      <c r="CS792" s="111"/>
      <c r="CT792" s="112">
        <f t="shared" si="203"/>
        <v>0</v>
      </c>
      <c r="CU792" s="113"/>
      <c r="CV792" s="114"/>
      <c r="CW792" s="115"/>
      <c r="CX792" s="116"/>
      <c r="CY792" s="117"/>
      <c r="CZ792" s="116"/>
      <c r="DA792" s="113"/>
      <c r="DB792" s="114"/>
      <c r="DC792" s="64"/>
      <c r="DD792" s="118"/>
    </row>
    <row r="793" spans="1:108" s="119" customFormat="1" ht="60" outlineLevel="2">
      <c r="A793" s="178">
        <v>40499</v>
      </c>
      <c r="B793" s="164" t="s">
        <v>952</v>
      </c>
      <c r="C793" s="164" t="s">
        <v>1222</v>
      </c>
      <c r="D793" s="166" t="s">
        <v>1262</v>
      </c>
      <c r="E793" s="163"/>
      <c r="F793" s="105"/>
      <c r="G793" s="105"/>
      <c r="H793" s="105">
        <v>1155</v>
      </c>
      <c r="I793" s="105">
        <v>247</v>
      </c>
      <c r="J793" s="105"/>
      <c r="K793" s="105">
        <v>247</v>
      </c>
      <c r="L793" s="105">
        <v>1</v>
      </c>
      <c r="M793" s="105"/>
      <c r="N793" s="105"/>
      <c r="O793" s="105"/>
      <c r="P793" s="105"/>
      <c r="Q793" s="105"/>
      <c r="R793" s="105"/>
      <c r="S793" s="105"/>
      <c r="T793" s="106"/>
      <c r="U793" s="130" t="s">
        <v>414</v>
      </c>
      <c r="V793" s="1"/>
      <c r="W793" s="68">
        <f t="shared" si="198"/>
        <v>0</v>
      </c>
      <c r="X793" s="68">
        <f t="shared" si="199"/>
        <v>0</v>
      </c>
      <c r="Y793" s="68">
        <f t="shared" si="200"/>
        <v>0</v>
      </c>
      <c r="Z793" s="68">
        <f t="shared" si="201"/>
        <v>0</v>
      </c>
      <c r="AA793" s="68"/>
      <c r="AB793" s="68">
        <v>0</v>
      </c>
      <c r="AC793" s="69">
        <f t="shared" si="202"/>
        <v>0</v>
      </c>
      <c r="AD793" s="70">
        <v>0</v>
      </c>
      <c r="AE793" s="63">
        <v>40500</v>
      </c>
      <c r="AF793" s="72"/>
      <c r="AG793" s="63" t="s">
        <v>938</v>
      </c>
      <c r="AH793" s="23" t="s">
        <v>939</v>
      </c>
      <c r="AI793" s="60"/>
      <c r="AJ793" s="124" t="s">
        <v>1608</v>
      </c>
      <c r="AK793" s="121" t="s">
        <v>306</v>
      </c>
      <c r="AL793" s="107"/>
      <c r="AM793" s="108"/>
      <c r="AN793" s="109"/>
      <c r="AO793" s="108"/>
      <c r="AP793" s="108"/>
      <c r="AQ793" s="108"/>
      <c r="AR793" s="108"/>
      <c r="AS793" s="108"/>
      <c r="AT793" s="108"/>
      <c r="AU793" s="108"/>
      <c r="AV793" s="108"/>
      <c r="AW793" s="108"/>
      <c r="AX793" s="108"/>
      <c r="AY793" s="108"/>
      <c r="AZ793" s="108"/>
      <c r="BA793" s="108"/>
      <c r="BB793" s="108"/>
      <c r="BC793" s="108"/>
      <c r="BD793" s="108"/>
      <c r="BE793" s="108"/>
      <c r="BF793" s="108"/>
      <c r="BG793" s="108"/>
      <c r="BH793" s="108"/>
      <c r="BI793" s="108"/>
      <c r="BJ793" s="108"/>
      <c r="BK793" s="108"/>
      <c r="BL793" s="108"/>
      <c r="BM793" s="108"/>
      <c r="BN793" s="108"/>
      <c r="BO793" s="108"/>
      <c r="BP793" s="108"/>
      <c r="BQ793" s="108"/>
      <c r="BR793" s="108"/>
      <c r="BS793" s="108"/>
      <c r="BT793" s="108"/>
      <c r="BU793" s="108"/>
      <c r="BV793" s="108"/>
      <c r="BW793" s="108"/>
      <c r="BX793" s="108"/>
      <c r="BY793" s="108"/>
      <c r="BZ793" s="108"/>
      <c r="CA793" s="108"/>
      <c r="CB793" s="108"/>
      <c r="CC793" s="108"/>
      <c r="CD793" s="108"/>
      <c r="CE793" s="108"/>
      <c r="CF793" s="108"/>
      <c r="CG793" s="108"/>
      <c r="CH793" s="108"/>
      <c r="CI793" s="108"/>
      <c r="CJ793" s="108"/>
      <c r="CK793" s="108"/>
      <c r="CL793" s="108"/>
      <c r="CM793" s="108"/>
      <c r="CN793" s="110"/>
      <c r="CO793" s="111"/>
      <c r="CP793" s="110"/>
      <c r="CQ793" s="111"/>
      <c r="CR793" s="110"/>
      <c r="CS793" s="111"/>
      <c r="CT793" s="112">
        <f t="shared" si="203"/>
        <v>0</v>
      </c>
      <c r="CU793" s="113"/>
      <c r="CV793" s="114"/>
      <c r="CW793" s="115"/>
      <c r="CX793" s="116"/>
      <c r="CY793" s="117"/>
      <c r="CZ793" s="116"/>
      <c r="DA793" s="113"/>
      <c r="DB793" s="114"/>
      <c r="DC793" s="64"/>
      <c r="DD793" s="118"/>
    </row>
    <row r="794" spans="1:108" s="119" customFormat="1" ht="24" outlineLevel="2">
      <c r="A794" s="178">
        <v>40499</v>
      </c>
      <c r="B794" s="164" t="s">
        <v>952</v>
      </c>
      <c r="C794" s="164" t="s">
        <v>1909</v>
      </c>
      <c r="D794" s="165" t="s">
        <v>1182</v>
      </c>
      <c r="E794" s="163"/>
      <c r="F794" s="105">
        <v>3</v>
      </c>
      <c r="G794" s="105"/>
      <c r="H794" s="105">
        <v>59</v>
      </c>
      <c r="I794" s="105">
        <v>13</v>
      </c>
      <c r="J794" s="105"/>
      <c r="K794" s="105">
        <f>1+12</f>
        <v>13</v>
      </c>
      <c r="L794" s="105"/>
      <c r="M794" s="105"/>
      <c r="N794" s="105"/>
      <c r="O794" s="105"/>
      <c r="P794" s="105"/>
      <c r="Q794" s="105"/>
      <c r="R794" s="105"/>
      <c r="S794" s="105"/>
      <c r="T794" s="106"/>
      <c r="U794" s="130"/>
      <c r="V794" s="1"/>
      <c r="W794" s="68">
        <f t="shared" si="198"/>
        <v>0</v>
      </c>
      <c r="X794" s="68">
        <f t="shared" si="199"/>
        <v>0</v>
      </c>
      <c r="Y794" s="68">
        <f t="shared" si="200"/>
        <v>0</v>
      </c>
      <c r="Z794" s="68">
        <f t="shared" si="201"/>
        <v>0</v>
      </c>
      <c r="AA794" s="68"/>
      <c r="AB794" s="68">
        <v>0</v>
      </c>
      <c r="AC794" s="69">
        <f t="shared" si="202"/>
        <v>0</v>
      </c>
      <c r="AD794" s="70">
        <v>0</v>
      </c>
      <c r="AE794" s="63">
        <v>40500</v>
      </c>
      <c r="AF794" s="72"/>
      <c r="AG794" s="63" t="s">
        <v>938</v>
      </c>
      <c r="AH794" s="23" t="s">
        <v>939</v>
      </c>
      <c r="AI794" s="60"/>
      <c r="AJ794" s="124" t="s">
        <v>1608</v>
      </c>
      <c r="AK794" s="121" t="s">
        <v>626</v>
      </c>
      <c r="AL794" s="107"/>
      <c r="AM794" s="108"/>
      <c r="AN794" s="109"/>
      <c r="AO794" s="108"/>
      <c r="AP794" s="108"/>
      <c r="AQ794" s="108"/>
      <c r="AR794" s="108"/>
      <c r="AS794" s="108"/>
      <c r="AT794" s="108"/>
      <c r="AU794" s="108"/>
      <c r="AV794" s="108"/>
      <c r="AW794" s="108"/>
      <c r="AX794" s="108"/>
      <c r="AY794" s="108"/>
      <c r="AZ794" s="108"/>
      <c r="BA794" s="108"/>
      <c r="BB794" s="108"/>
      <c r="BC794" s="108"/>
      <c r="BD794" s="108"/>
      <c r="BE794" s="108"/>
      <c r="BF794" s="108"/>
      <c r="BG794" s="108"/>
      <c r="BH794" s="108"/>
      <c r="BI794" s="108"/>
      <c r="BJ794" s="108"/>
      <c r="BK794" s="108"/>
      <c r="BL794" s="108"/>
      <c r="BM794" s="108"/>
      <c r="BN794" s="108"/>
      <c r="BO794" s="108"/>
      <c r="BP794" s="108"/>
      <c r="BQ794" s="108"/>
      <c r="BR794" s="108"/>
      <c r="BS794" s="108"/>
      <c r="BT794" s="108"/>
      <c r="BU794" s="108"/>
      <c r="BV794" s="108"/>
      <c r="BW794" s="108"/>
      <c r="BX794" s="108"/>
      <c r="BY794" s="108"/>
      <c r="BZ794" s="108"/>
      <c r="CA794" s="108"/>
      <c r="CB794" s="108"/>
      <c r="CC794" s="108"/>
      <c r="CD794" s="108"/>
      <c r="CE794" s="108"/>
      <c r="CF794" s="108"/>
      <c r="CG794" s="108"/>
      <c r="CH794" s="108"/>
      <c r="CI794" s="108"/>
      <c r="CJ794" s="108"/>
      <c r="CK794" s="108"/>
      <c r="CL794" s="108"/>
      <c r="CM794" s="108"/>
      <c r="CN794" s="110"/>
      <c r="CO794" s="111"/>
      <c r="CP794" s="110"/>
      <c r="CQ794" s="111"/>
      <c r="CR794" s="110"/>
      <c r="CS794" s="111"/>
      <c r="CT794" s="112">
        <f t="shared" si="203"/>
        <v>0</v>
      </c>
      <c r="CU794" s="113"/>
      <c r="CV794" s="114"/>
      <c r="CW794" s="115"/>
      <c r="CX794" s="116"/>
      <c r="CY794" s="117"/>
      <c r="CZ794" s="116"/>
      <c r="DA794" s="113"/>
      <c r="DB794" s="114"/>
      <c r="DC794" s="64"/>
      <c r="DD794" s="118"/>
    </row>
    <row r="795" spans="1:108" s="137" customFormat="1" ht="48" outlineLevel="2">
      <c r="A795" s="178">
        <v>40499</v>
      </c>
      <c r="B795" s="164" t="s">
        <v>952</v>
      </c>
      <c r="C795" s="164" t="s">
        <v>1281</v>
      </c>
      <c r="D795" s="166" t="s">
        <v>1262</v>
      </c>
      <c r="E795" s="163"/>
      <c r="F795" s="105"/>
      <c r="G795" s="105"/>
      <c r="H795" s="105">
        <v>1500</v>
      </c>
      <c r="I795" s="105">
        <v>300</v>
      </c>
      <c r="J795" s="105"/>
      <c r="K795" s="105">
        <v>300</v>
      </c>
      <c r="L795" s="105"/>
      <c r="M795" s="105"/>
      <c r="N795" s="105"/>
      <c r="O795" s="105"/>
      <c r="P795" s="105"/>
      <c r="Q795" s="105"/>
      <c r="R795" s="105">
        <v>2</v>
      </c>
      <c r="S795" s="105"/>
      <c r="T795" s="106">
        <v>1200</v>
      </c>
      <c r="U795" s="130" t="s">
        <v>1676</v>
      </c>
      <c r="V795" s="1"/>
      <c r="W795" s="68">
        <f t="shared" si="198"/>
        <v>0</v>
      </c>
      <c r="X795" s="68">
        <f t="shared" si="199"/>
        <v>0</v>
      </c>
      <c r="Y795" s="68">
        <f t="shared" si="200"/>
        <v>0</v>
      </c>
      <c r="Z795" s="68">
        <f t="shared" si="201"/>
        <v>0</v>
      </c>
      <c r="AA795" s="68"/>
      <c r="AB795" s="68">
        <v>0</v>
      </c>
      <c r="AC795" s="69">
        <f t="shared" si="202"/>
        <v>0</v>
      </c>
      <c r="AD795" s="70">
        <v>0</v>
      </c>
      <c r="AE795" s="63">
        <v>40504</v>
      </c>
      <c r="AF795" s="72"/>
      <c r="AG795" s="63" t="s">
        <v>938</v>
      </c>
      <c r="AH795" s="23" t="s">
        <v>939</v>
      </c>
      <c r="AI795" s="60"/>
      <c r="AJ795" s="124" t="s">
        <v>1608</v>
      </c>
      <c r="AK795" s="121" t="s">
        <v>336</v>
      </c>
      <c r="AL795" s="107"/>
      <c r="AM795" s="108"/>
      <c r="AN795" s="109"/>
      <c r="AO795" s="108"/>
      <c r="AP795" s="108"/>
      <c r="AQ795" s="108"/>
      <c r="AR795" s="108"/>
      <c r="AS795" s="108"/>
      <c r="AT795" s="108"/>
      <c r="AU795" s="108"/>
      <c r="AV795" s="108"/>
      <c r="AW795" s="108"/>
      <c r="AX795" s="108"/>
      <c r="AY795" s="108"/>
      <c r="AZ795" s="108"/>
      <c r="BA795" s="108"/>
      <c r="BB795" s="108"/>
      <c r="BC795" s="108"/>
      <c r="BD795" s="108"/>
      <c r="BE795" s="108"/>
      <c r="BF795" s="108"/>
      <c r="BG795" s="108"/>
      <c r="BH795" s="108"/>
      <c r="BI795" s="108"/>
      <c r="BJ795" s="108"/>
      <c r="BK795" s="108"/>
      <c r="BL795" s="108"/>
      <c r="BM795" s="108"/>
      <c r="BN795" s="108"/>
      <c r="BO795" s="108"/>
      <c r="BP795" s="108"/>
      <c r="BQ795" s="108"/>
      <c r="BR795" s="108"/>
      <c r="BS795" s="108"/>
      <c r="BT795" s="108"/>
      <c r="BU795" s="108"/>
      <c r="BV795" s="108"/>
      <c r="BW795" s="108"/>
      <c r="BX795" s="108"/>
      <c r="BY795" s="108"/>
      <c r="BZ795" s="108"/>
      <c r="CA795" s="108"/>
      <c r="CB795" s="108"/>
      <c r="CC795" s="108"/>
      <c r="CD795" s="108"/>
      <c r="CE795" s="108"/>
      <c r="CF795" s="108"/>
      <c r="CG795" s="108"/>
      <c r="CH795" s="108"/>
      <c r="CI795" s="108"/>
      <c r="CJ795" s="108"/>
      <c r="CK795" s="108"/>
      <c r="CL795" s="108"/>
      <c r="CM795" s="108"/>
      <c r="CN795" s="110"/>
      <c r="CO795" s="111"/>
      <c r="CP795" s="110"/>
      <c r="CQ795" s="111"/>
      <c r="CR795" s="110"/>
      <c r="CS795" s="111"/>
      <c r="CT795" s="112">
        <f t="shared" si="203"/>
        <v>0</v>
      </c>
      <c r="CU795" s="113"/>
      <c r="CV795" s="114"/>
      <c r="CW795" s="115"/>
      <c r="CX795" s="116"/>
      <c r="CY795" s="117"/>
      <c r="CZ795" s="116"/>
      <c r="DA795" s="113"/>
      <c r="DB795" s="114"/>
      <c r="DC795" s="64"/>
      <c r="DD795" s="118"/>
    </row>
    <row r="796" spans="1:108" s="119" customFormat="1" ht="45" outlineLevel="2">
      <c r="A796" s="178">
        <v>40499</v>
      </c>
      <c r="B796" s="164" t="s">
        <v>952</v>
      </c>
      <c r="C796" s="164" t="s">
        <v>337</v>
      </c>
      <c r="D796" s="166" t="s">
        <v>1182</v>
      </c>
      <c r="E796" s="163"/>
      <c r="F796" s="105"/>
      <c r="G796" s="105"/>
      <c r="H796" s="105">
        <v>78</v>
      </c>
      <c r="I796" s="105">
        <v>20</v>
      </c>
      <c r="J796" s="105"/>
      <c r="K796" s="105">
        <v>20</v>
      </c>
      <c r="L796" s="105"/>
      <c r="M796" s="105"/>
      <c r="N796" s="105"/>
      <c r="O796" s="105"/>
      <c r="P796" s="105"/>
      <c r="Q796" s="105"/>
      <c r="R796" s="105"/>
      <c r="S796" s="105"/>
      <c r="T796" s="106"/>
      <c r="U796" s="130"/>
      <c r="V796" s="1"/>
      <c r="W796" s="68">
        <f t="shared" si="198"/>
        <v>0</v>
      </c>
      <c r="X796" s="68">
        <f t="shared" si="199"/>
        <v>0</v>
      </c>
      <c r="Y796" s="68">
        <f t="shared" si="200"/>
        <v>0</v>
      </c>
      <c r="Z796" s="68">
        <f t="shared" si="201"/>
        <v>0</v>
      </c>
      <c r="AA796" s="68"/>
      <c r="AB796" s="68">
        <v>0</v>
      </c>
      <c r="AC796" s="69">
        <f t="shared" si="202"/>
        <v>0</v>
      </c>
      <c r="AD796" s="70">
        <v>0</v>
      </c>
      <c r="AE796" s="63">
        <v>40508</v>
      </c>
      <c r="AF796" s="72"/>
      <c r="AG796" s="63" t="s">
        <v>938</v>
      </c>
      <c r="AH796" s="23" t="s">
        <v>939</v>
      </c>
      <c r="AI796" s="60"/>
      <c r="AJ796" s="124" t="s">
        <v>1608</v>
      </c>
      <c r="AK796" s="121" t="s">
        <v>338</v>
      </c>
      <c r="AL796" s="107"/>
      <c r="AM796" s="108"/>
      <c r="AN796" s="109"/>
      <c r="AO796" s="108"/>
      <c r="AP796" s="108"/>
      <c r="AQ796" s="108"/>
      <c r="AR796" s="108"/>
      <c r="AS796" s="108"/>
      <c r="AT796" s="108"/>
      <c r="AU796" s="108"/>
      <c r="AV796" s="108"/>
      <c r="AW796" s="108"/>
      <c r="AX796" s="108"/>
      <c r="AY796" s="108"/>
      <c r="AZ796" s="108"/>
      <c r="BA796" s="108"/>
      <c r="BB796" s="108"/>
      <c r="BC796" s="108"/>
      <c r="BD796" s="108"/>
      <c r="BE796" s="108"/>
      <c r="BF796" s="108"/>
      <c r="BG796" s="108"/>
      <c r="BH796" s="108"/>
      <c r="BI796" s="108"/>
      <c r="BJ796" s="108"/>
      <c r="BK796" s="108"/>
      <c r="BL796" s="108"/>
      <c r="BM796" s="108"/>
      <c r="BN796" s="108"/>
      <c r="BO796" s="108"/>
      <c r="BP796" s="108"/>
      <c r="BQ796" s="108"/>
      <c r="BR796" s="108"/>
      <c r="BS796" s="108"/>
      <c r="BT796" s="108"/>
      <c r="BU796" s="108"/>
      <c r="BV796" s="108"/>
      <c r="BW796" s="108"/>
      <c r="BX796" s="108"/>
      <c r="BY796" s="108"/>
      <c r="BZ796" s="108"/>
      <c r="CA796" s="108"/>
      <c r="CB796" s="108"/>
      <c r="CC796" s="108"/>
      <c r="CD796" s="108"/>
      <c r="CE796" s="108"/>
      <c r="CF796" s="108"/>
      <c r="CG796" s="108"/>
      <c r="CH796" s="108"/>
      <c r="CI796" s="108"/>
      <c r="CJ796" s="108"/>
      <c r="CK796" s="108"/>
      <c r="CL796" s="108"/>
      <c r="CM796" s="108"/>
      <c r="CN796" s="110"/>
      <c r="CO796" s="111"/>
      <c r="CP796" s="110"/>
      <c r="CQ796" s="111"/>
      <c r="CR796" s="110"/>
      <c r="CS796" s="111"/>
      <c r="CT796" s="112">
        <f t="shared" si="203"/>
        <v>0</v>
      </c>
      <c r="CU796" s="113"/>
      <c r="CV796" s="114"/>
      <c r="CW796" s="115"/>
      <c r="CX796" s="116"/>
      <c r="CY796" s="117"/>
      <c r="CZ796" s="116"/>
      <c r="DA796" s="113"/>
      <c r="DB796" s="114"/>
      <c r="DC796" s="64"/>
      <c r="DD796" s="118"/>
    </row>
    <row r="797" spans="1:108" s="119" customFormat="1" ht="36" outlineLevel="2">
      <c r="A797" s="178">
        <v>40499</v>
      </c>
      <c r="B797" s="164" t="s">
        <v>952</v>
      </c>
      <c r="C797" s="164" t="s">
        <v>1566</v>
      </c>
      <c r="D797" s="166" t="s">
        <v>1262</v>
      </c>
      <c r="E797" s="163"/>
      <c r="F797" s="105"/>
      <c r="G797" s="105"/>
      <c r="H797" s="105">
        <v>727</v>
      </c>
      <c r="I797" s="105">
        <v>208</v>
      </c>
      <c r="J797" s="105"/>
      <c r="K797" s="105">
        <v>181</v>
      </c>
      <c r="L797" s="105"/>
      <c r="M797" s="105"/>
      <c r="N797" s="105"/>
      <c r="O797" s="105"/>
      <c r="P797" s="105"/>
      <c r="Q797" s="105"/>
      <c r="R797" s="105">
        <v>1</v>
      </c>
      <c r="S797" s="105"/>
      <c r="T797" s="106"/>
      <c r="U797" s="130"/>
      <c r="V797" s="1"/>
      <c r="W797" s="68">
        <f t="shared" si="198"/>
        <v>0</v>
      </c>
      <c r="X797" s="68">
        <f t="shared" si="199"/>
        <v>0</v>
      </c>
      <c r="Y797" s="68">
        <f t="shared" si="200"/>
        <v>0</v>
      </c>
      <c r="Z797" s="68">
        <f t="shared" si="201"/>
        <v>0</v>
      </c>
      <c r="AA797" s="68"/>
      <c r="AB797" s="68">
        <v>0</v>
      </c>
      <c r="AC797" s="69">
        <f t="shared" si="202"/>
        <v>0</v>
      </c>
      <c r="AD797" s="70">
        <v>0</v>
      </c>
      <c r="AE797" s="63">
        <v>40504</v>
      </c>
      <c r="AF797" s="72"/>
      <c r="AG797" s="63" t="s">
        <v>938</v>
      </c>
      <c r="AH797" s="23" t="s">
        <v>939</v>
      </c>
      <c r="AI797" s="60"/>
      <c r="AJ797" s="124" t="s">
        <v>1608</v>
      </c>
      <c r="AK797" s="121" t="s">
        <v>335</v>
      </c>
      <c r="AL797" s="107"/>
      <c r="AM797" s="108"/>
      <c r="AN797" s="109"/>
      <c r="AO797" s="108"/>
      <c r="AP797" s="108"/>
      <c r="AQ797" s="108"/>
      <c r="AR797" s="108"/>
      <c r="AS797" s="108"/>
      <c r="AT797" s="108"/>
      <c r="AU797" s="108"/>
      <c r="AV797" s="108"/>
      <c r="AW797" s="108"/>
      <c r="AX797" s="108"/>
      <c r="AY797" s="108"/>
      <c r="AZ797" s="108"/>
      <c r="BA797" s="108"/>
      <c r="BB797" s="108"/>
      <c r="BC797" s="108"/>
      <c r="BD797" s="108"/>
      <c r="BE797" s="108"/>
      <c r="BF797" s="108"/>
      <c r="BG797" s="108"/>
      <c r="BH797" s="108"/>
      <c r="BI797" s="108"/>
      <c r="BJ797" s="108"/>
      <c r="BK797" s="108"/>
      <c r="BL797" s="108"/>
      <c r="BM797" s="108"/>
      <c r="BN797" s="108"/>
      <c r="BO797" s="108"/>
      <c r="BP797" s="108"/>
      <c r="BQ797" s="108"/>
      <c r="BR797" s="108"/>
      <c r="BS797" s="108"/>
      <c r="BT797" s="108"/>
      <c r="BU797" s="108"/>
      <c r="BV797" s="108"/>
      <c r="BW797" s="108"/>
      <c r="BX797" s="108"/>
      <c r="BY797" s="108"/>
      <c r="BZ797" s="108"/>
      <c r="CA797" s="108"/>
      <c r="CB797" s="108"/>
      <c r="CC797" s="108"/>
      <c r="CD797" s="108"/>
      <c r="CE797" s="108"/>
      <c r="CF797" s="108"/>
      <c r="CG797" s="108"/>
      <c r="CH797" s="108"/>
      <c r="CI797" s="108"/>
      <c r="CJ797" s="108"/>
      <c r="CK797" s="108"/>
      <c r="CL797" s="108"/>
      <c r="CM797" s="108"/>
      <c r="CN797" s="110"/>
      <c r="CO797" s="111"/>
      <c r="CP797" s="110"/>
      <c r="CQ797" s="111"/>
      <c r="CR797" s="110"/>
      <c r="CS797" s="111"/>
      <c r="CT797" s="112">
        <f t="shared" si="203"/>
        <v>0</v>
      </c>
      <c r="CU797" s="113"/>
      <c r="CV797" s="114"/>
      <c r="CW797" s="115"/>
      <c r="CX797" s="116"/>
      <c r="CY797" s="117"/>
      <c r="CZ797" s="116"/>
      <c r="DA797" s="113"/>
      <c r="DB797" s="114"/>
      <c r="DC797" s="64"/>
      <c r="DD797" s="118"/>
    </row>
    <row r="798" spans="1:108" s="119" customFormat="1" ht="24" outlineLevel="2">
      <c r="A798" s="178">
        <v>40499</v>
      </c>
      <c r="B798" s="164" t="s">
        <v>952</v>
      </c>
      <c r="C798" s="164" t="s">
        <v>42</v>
      </c>
      <c r="D798" s="166" t="s">
        <v>1262</v>
      </c>
      <c r="E798" s="163"/>
      <c r="F798" s="105"/>
      <c r="G798" s="105"/>
      <c r="H798" s="105">
        <v>23</v>
      </c>
      <c r="I798" s="105">
        <v>6</v>
      </c>
      <c r="J798" s="105"/>
      <c r="K798" s="105">
        <v>6</v>
      </c>
      <c r="L798" s="105"/>
      <c r="M798" s="105"/>
      <c r="N798" s="105"/>
      <c r="O798" s="105"/>
      <c r="P798" s="105"/>
      <c r="Q798" s="105"/>
      <c r="R798" s="105"/>
      <c r="S798" s="105"/>
      <c r="T798" s="106"/>
      <c r="U798" s="130"/>
      <c r="V798" s="1"/>
      <c r="W798" s="68">
        <f t="shared" si="198"/>
        <v>0</v>
      </c>
      <c r="X798" s="68">
        <f t="shared" si="199"/>
        <v>0</v>
      </c>
      <c r="Y798" s="68">
        <f t="shared" si="200"/>
        <v>0</v>
      </c>
      <c r="Z798" s="68">
        <f t="shared" si="201"/>
        <v>0</v>
      </c>
      <c r="AA798" s="68"/>
      <c r="AB798" s="68">
        <v>0</v>
      </c>
      <c r="AC798" s="69">
        <f t="shared" si="202"/>
        <v>0</v>
      </c>
      <c r="AD798" s="70">
        <v>0</v>
      </c>
      <c r="AE798" s="63">
        <v>40504</v>
      </c>
      <c r="AF798" s="72"/>
      <c r="AG798" s="63" t="s">
        <v>938</v>
      </c>
      <c r="AH798" s="23" t="s">
        <v>939</v>
      </c>
      <c r="AI798" s="60"/>
      <c r="AJ798" s="124" t="s">
        <v>1608</v>
      </c>
      <c r="AK798" s="121" t="s">
        <v>628</v>
      </c>
      <c r="AL798" s="107"/>
      <c r="AM798" s="108"/>
      <c r="AN798" s="109"/>
      <c r="AO798" s="108"/>
      <c r="AP798" s="108"/>
      <c r="AQ798" s="108"/>
      <c r="AR798" s="108"/>
      <c r="AS798" s="108"/>
      <c r="AT798" s="108"/>
      <c r="AU798" s="108"/>
      <c r="AV798" s="108"/>
      <c r="AW798" s="108"/>
      <c r="AX798" s="108"/>
      <c r="AY798" s="108"/>
      <c r="AZ798" s="108"/>
      <c r="BA798" s="108"/>
      <c r="BB798" s="108"/>
      <c r="BC798" s="108"/>
      <c r="BD798" s="108"/>
      <c r="BE798" s="108"/>
      <c r="BF798" s="108"/>
      <c r="BG798" s="108"/>
      <c r="BH798" s="108"/>
      <c r="BI798" s="108"/>
      <c r="BJ798" s="108"/>
      <c r="BK798" s="108"/>
      <c r="BL798" s="108"/>
      <c r="BM798" s="108"/>
      <c r="BN798" s="108"/>
      <c r="BO798" s="108"/>
      <c r="BP798" s="108"/>
      <c r="BQ798" s="108"/>
      <c r="BR798" s="108"/>
      <c r="BS798" s="108"/>
      <c r="BT798" s="108"/>
      <c r="BU798" s="108"/>
      <c r="BV798" s="108"/>
      <c r="BW798" s="108"/>
      <c r="BX798" s="108"/>
      <c r="BY798" s="108"/>
      <c r="BZ798" s="108"/>
      <c r="CA798" s="108"/>
      <c r="CB798" s="108"/>
      <c r="CC798" s="108"/>
      <c r="CD798" s="108"/>
      <c r="CE798" s="108"/>
      <c r="CF798" s="108"/>
      <c r="CG798" s="108"/>
      <c r="CH798" s="108"/>
      <c r="CI798" s="108"/>
      <c r="CJ798" s="108"/>
      <c r="CK798" s="108"/>
      <c r="CL798" s="108"/>
      <c r="CM798" s="108"/>
      <c r="CN798" s="110"/>
      <c r="CO798" s="111"/>
      <c r="CP798" s="110"/>
      <c r="CQ798" s="111"/>
      <c r="CR798" s="110"/>
      <c r="CS798" s="111"/>
      <c r="CT798" s="112">
        <f t="shared" si="203"/>
        <v>0</v>
      </c>
      <c r="CU798" s="113"/>
      <c r="CV798" s="114"/>
      <c r="CW798" s="115"/>
      <c r="CX798" s="116"/>
      <c r="CY798" s="117"/>
      <c r="CZ798" s="116"/>
      <c r="DA798" s="113"/>
      <c r="DB798" s="114"/>
      <c r="DC798" s="64"/>
      <c r="DD798" s="118"/>
    </row>
    <row r="799" spans="1:108" s="119" customFormat="1" outlineLevel="2">
      <c r="A799" s="178">
        <v>40499</v>
      </c>
      <c r="B799" s="164" t="s">
        <v>952</v>
      </c>
      <c r="C799" s="164" t="s">
        <v>1681</v>
      </c>
      <c r="D799" s="165" t="s">
        <v>1182</v>
      </c>
      <c r="E799" s="163">
        <v>1</v>
      </c>
      <c r="F799" s="105">
        <v>1</v>
      </c>
      <c r="G799" s="105"/>
      <c r="H799" s="105"/>
      <c r="I799" s="105"/>
      <c r="J799" s="105"/>
      <c r="K799" s="105"/>
      <c r="L799" s="105"/>
      <c r="M799" s="105"/>
      <c r="N799" s="105"/>
      <c r="O799" s="105"/>
      <c r="P799" s="105"/>
      <c r="Q799" s="105"/>
      <c r="R799" s="105"/>
      <c r="S799" s="105"/>
      <c r="T799" s="106"/>
      <c r="U799" s="130"/>
      <c r="V799" s="1"/>
      <c r="W799" s="68">
        <f t="shared" si="198"/>
        <v>0</v>
      </c>
      <c r="X799" s="68">
        <f t="shared" si="199"/>
        <v>0</v>
      </c>
      <c r="Y799" s="68">
        <f t="shared" si="200"/>
        <v>0</v>
      </c>
      <c r="Z799" s="68">
        <f t="shared" si="201"/>
        <v>0</v>
      </c>
      <c r="AA799" s="68"/>
      <c r="AB799" s="68">
        <v>0</v>
      </c>
      <c r="AC799" s="69">
        <f t="shared" si="202"/>
        <v>0</v>
      </c>
      <c r="AD799" s="70">
        <v>0</v>
      </c>
      <c r="AE799" s="63">
        <v>40504</v>
      </c>
      <c r="AF799" s="72"/>
      <c r="AG799" s="63" t="s">
        <v>938</v>
      </c>
      <c r="AH799" s="23" t="s">
        <v>939</v>
      </c>
      <c r="AI799" s="60"/>
      <c r="AJ799" s="124" t="s">
        <v>1608</v>
      </c>
      <c r="AK799" s="121" t="s">
        <v>627</v>
      </c>
      <c r="AL799" s="107"/>
      <c r="AM799" s="108"/>
      <c r="AN799" s="109"/>
      <c r="AO799" s="108"/>
      <c r="AP799" s="108"/>
      <c r="AQ799" s="108"/>
      <c r="AR799" s="108"/>
      <c r="AS799" s="108"/>
      <c r="AT799" s="108"/>
      <c r="AU799" s="108"/>
      <c r="AV799" s="108"/>
      <c r="AW799" s="108"/>
      <c r="AX799" s="108"/>
      <c r="AY799" s="108"/>
      <c r="AZ799" s="108"/>
      <c r="BA799" s="108"/>
      <c r="BB799" s="108"/>
      <c r="BC799" s="108"/>
      <c r="BD799" s="108"/>
      <c r="BE799" s="108"/>
      <c r="BF799" s="108"/>
      <c r="BG799" s="108"/>
      <c r="BH799" s="108"/>
      <c r="BI799" s="108"/>
      <c r="BJ799" s="108"/>
      <c r="BK799" s="108"/>
      <c r="BL799" s="108"/>
      <c r="BM799" s="108"/>
      <c r="BN799" s="108"/>
      <c r="BO799" s="108"/>
      <c r="BP799" s="108"/>
      <c r="BQ799" s="108"/>
      <c r="BR799" s="108"/>
      <c r="BS799" s="108"/>
      <c r="BT799" s="108"/>
      <c r="BU799" s="108"/>
      <c r="BV799" s="108"/>
      <c r="BW799" s="108"/>
      <c r="BX799" s="108"/>
      <c r="BY799" s="108"/>
      <c r="BZ799" s="108"/>
      <c r="CA799" s="108"/>
      <c r="CB799" s="108"/>
      <c r="CC799" s="108"/>
      <c r="CD799" s="108"/>
      <c r="CE799" s="108"/>
      <c r="CF799" s="108"/>
      <c r="CG799" s="108"/>
      <c r="CH799" s="108"/>
      <c r="CI799" s="108"/>
      <c r="CJ799" s="108"/>
      <c r="CK799" s="108"/>
      <c r="CL799" s="108"/>
      <c r="CM799" s="108"/>
      <c r="CN799" s="110"/>
      <c r="CO799" s="111"/>
      <c r="CP799" s="110"/>
      <c r="CQ799" s="111"/>
      <c r="CR799" s="110"/>
      <c r="CS799" s="111"/>
      <c r="CT799" s="112">
        <f t="shared" si="203"/>
        <v>0</v>
      </c>
      <c r="CU799" s="113"/>
      <c r="CV799" s="114"/>
      <c r="CW799" s="115"/>
      <c r="CX799" s="116"/>
      <c r="CY799" s="117"/>
      <c r="CZ799" s="116"/>
      <c r="DA799" s="113"/>
      <c r="DB799" s="114"/>
      <c r="DC799" s="64"/>
      <c r="DD799" s="118"/>
    </row>
    <row r="800" spans="1:108" s="119" customFormat="1" ht="24" outlineLevel="2">
      <c r="A800" s="178">
        <v>40500</v>
      </c>
      <c r="B800" s="164" t="s">
        <v>952</v>
      </c>
      <c r="C800" s="164" t="s">
        <v>329</v>
      </c>
      <c r="D800" s="166" t="s">
        <v>1182</v>
      </c>
      <c r="E800" s="163"/>
      <c r="F800" s="105"/>
      <c r="G800" s="105"/>
      <c r="H800" s="105">
        <v>65</v>
      </c>
      <c r="I800" s="105">
        <v>13</v>
      </c>
      <c r="J800" s="105"/>
      <c r="K800" s="105">
        <v>13</v>
      </c>
      <c r="L800" s="105"/>
      <c r="M800" s="105"/>
      <c r="N800" s="105"/>
      <c r="O800" s="105"/>
      <c r="P800" s="105"/>
      <c r="Q800" s="105"/>
      <c r="R800" s="105"/>
      <c r="S800" s="105"/>
      <c r="T800" s="106"/>
      <c r="U800" s="130"/>
      <c r="V800" s="1"/>
      <c r="W800" s="68">
        <f t="shared" si="198"/>
        <v>0</v>
      </c>
      <c r="X800" s="68">
        <f t="shared" si="199"/>
        <v>0</v>
      </c>
      <c r="Y800" s="68">
        <f t="shared" si="200"/>
        <v>0</v>
      </c>
      <c r="Z800" s="68">
        <f t="shared" si="201"/>
        <v>0</v>
      </c>
      <c r="AA800" s="68"/>
      <c r="AB800" s="68">
        <v>0</v>
      </c>
      <c r="AC800" s="69">
        <f t="shared" si="202"/>
        <v>0</v>
      </c>
      <c r="AD800" s="70">
        <v>0</v>
      </c>
      <c r="AE800" s="63">
        <v>40508</v>
      </c>
      <c r="AF800" s="72"/>
      <c r="AG800" s="63" t="s">
        <v>938</v>
      </c>
      <c r="AH800" s="23" t="s">
        <v>939</v>
      </c>
      <c r="AI800" s="60"/>
      <c r="AJ800" s="124" t="s">
        <v>1608</v>
      </c>
      <c r="AK800" s="121" t="s">
        <v>330</v>
      </c>
      <c r="AL800" s="107"/>
      <c r="AM800" s="108"/>
      <c r="AN800" s="109"/>
      <c r="AO800" s="108"/>
      <c r="AP800" s="108"/>
      <c r="AQ800" s="108"/>
      <c r="AR800" s="108"/>
      <c r="AS800" s="108"/>
      <c r="AT800" s="108"/>
      <c r="AU800" s="108"/>
      <c r="AV800" s="108"/>
      <c r="AW800" s="108"/>
      <c r="AX800" s="108"/>
      <c r="AY800" s="108"/>
      <c r="AZ800" s="108"/>
      <c r="BA800" s="108"/>
      <c r="BB800" s="108"/>
      <c r="BC800" s="108"/>
      <c r="BD800" s="108"/>
      <c r="BE800" s="108"/>
      <c r="BF800" s="108"/>
      <c r="BG800" s="108"/>
      <c r="BH800" s="108"/>
      <c r="BI800" s="108"/>
      <c r="BJ800" s="108"/>
      <c r="BK800" s="108"/>
      <c r="BL800" s="108"/>
      <c r="BM800" s="108"/>
      <c r="BN800" s="108"/>
      <c r="BO800" s="108"/>
      <c r="BP800" s="108"/>
      <c r="BQ800" s="108"/>
      <c r="BR800" s="108"/>
      <c r="BS800" s="108"/>
      <c r="BT800" s="108"/>
      <c r="BU800" s="108"/>
      <c r="BV800" s="108"/>
      <c r="BW800" s="108"/>
      <c r="BX800" s="108"/>
      <c r="BY800" s="108"/>
      <c r="BZ800" s="108"/>
      <c r="CA800" s="108"/>
      <c r="CB800" s="108"/>
      <c r="CC800" s="108"/>
      <c r="CD800" s="108"/>
      <c r="CE800" s="108"/>
      <c r="CF800" s="108"/>
      <c r="CG800" s="108"/>
      <c r="CH800" s="108"/>
      <c r="CI800" s="108"/>
      <c r="CJ800" s="108"/>
      <c r="CK800" s="108"/>
      <c r="CL800" s="108"/>
      <c r="CM800" s="108"/>
      <c r="CN800" s="110"/>
      <c r="CO800" s="111"/>
      <c r="CP800" s="110"/>
      <c r="CQ800" s="111"/>
      <c r="CR800" s="110"/>
      <c r="CS800" s="111"/>
      <c r="CT800" s="112">
        <f t="shared" si="203"/>
        <v>0</v>
      </c>
      <c r="CU800" s="113"/>
      <c r="CV800" s="114"/>
      <c r="CW800" s="115"/>
      <c r="CX800" s="116"/>
      <c r="CY800" s="117"/>
      <c r="CZ800" s="116"/>
      <c r="DA800" s="113"/>
      <c r="DB800" s="114"/>
      <c r="DC800" s="64"/>
      <c r="DD800" s="118"/>
    </row>
    <row r="801" spans="1:108" s="119" customFormat="1" ht="36" outlineLevel="2">
      <c r="A801" s="178">
        <v>40500</v>
      </c>
      <c r="B801" s="164" t="s">
        <v>952</v>
      </c>
      <c r="C801" s="164" t="s">
        <v>308</v>
      </c>
      <c r="D801" s="165" t="s">
        <v>1182</v>
      </c>
      <c r="E801" s="163"/>
      <c r="F801" s="105"/>
      <c r="G801" s="105"/>
      <c r="H801" s="105">
        <v>210</v>
      </c>
      <c r="I801" s="105">
        <v>42</v>
      </c>
      <c r="J801" s="105"/>
      <c r="K801" s="105">
        <v>42</v>
      </c>
      <c r="L801" s="105">
        <v>2</v>
      </c>
      <c r="M801" s="105">
        <v>2</v>
      </c>
      <c r="N801" s="105"/>
      <c r="O801" s="105"/>
      <c r="P801" s="105"/>
      <c r="Q801" s="105"/>
      <c r="R801" s="105"/>
      <c r="S801" s="105"/>
      <c r="T801" s="106"/>
      <c r="U801" s="130"/>
      <c r="V801" s="1"/>
      <c r="W801" s="68">
        <f t="shared" si="198"/>
        <v>0</v>
      </c>
      <c r="X801" s="68">
        <f t="shared" si="199"/>
        <v>0</v>
      </c>
      <c r="Y801" s="68">
        <f t="shared" si="200"/>
        <v>0</v>
      </c>
      <c r="Z801" s="68">
        <f t="shared" si="201"/>
        <v>0</v>
      </c>
      <c r="AA801" s="68"/>
      <c r="AB801" s="68">
        <v>0</v>
      </c>
      <c r="AC801" s="69">
        <f t="shared" si="202"/>
        <v>0</v>
      </c>
      <c r="AD801" s="70">
        <v>0</v>
      </c>
      <c r="AE801" s="63">
        <v>40506</v>
      </c>
      <c r="AF801" s="72"/>
      <c r="AG801" s="63" t="s">
        <v>938</v>
      </c>
      <c r="AH801" s="23" t="s">
        <v>939</v>
      </c>
      <c r="AI801" s="60"/>
      <c r="AJ801" s="124" t="s">
        <v>1608</v>
      </c>
      <c r="AK801" s="121" t="s">
        <v>309</v>
      </c>
      <c r="AL801" s="107"/>
      <c r="AM801" s="108"/>
      <c r="AN801" s="109"/>
      <c r="AO801" s="108"/>
      <c r="AP801" s="108"/>
      <c r="AQ801" s="108"/>
      <c r="AR801" s="108"/>
      <c r="AS801" s="108"/>
      <c r="AT801" s="108"/>
      <c r="AU801" s="108"/>
      <c r="AV801" s="108"/>
      <c r="AW801" s="108"/>
      <c r="AX801" s="108"/>
      <c r="AY801" s="108"/>
      <c r="AZ801" s="108"/>
      <c r="BA801" s="108"/>
      <c r="BB801" s="108"/>
      <c r="BC801" s="108"/>
      <c r="BD801" s="108"/>
      <c r="BE801" s="108"/>
      <c r="BF801" s="108"/>
      <c r="BG801" s="108"/>
      <c r="BH801" s="108"/>
      <c r="BI801" s="108"/>
      <c r="BJ801" s="108"/>
      <c r="BK801" s="108"/>
      <c r="BL801" s="108"/>
      <c r="BM801" s="108"/>
      <c r="BN801" s="108"/>
      <c r="BO801" s="108"/>
      <c r="BP801" s="108"/>
      <c r="BQ801" s="108"/>
      <c r="BR801" s="108"/>
      <c r="BS801" s="108"/>
      <c r="BT801" s="108"/>
      <c r="BU801" s="108"/>
      <c r="BV801" s="108"/>
      <c r="BW801" s="108"/>
      <c r="BX801" s="108"/>
      <c r="BY801" s="108"/>
      <c r="BZ801" s="108"/>
      <c r="CA801" s="108"/>
      <c r="CB801" s="108"/>
      <c r="CC801" s="108"/>
      <c r="CD801" s="108"/>
      <c r="CE801" s="108"/>
      <c r="CF801" s="108"/>
      <c r="CG801" s="108"/>
      <c r="CH801" s="108"/>
      <c r="CI801" s="108"/>
      <c r="CJ801" s="108"/>
      <c r="CK801" s="108"/>
      <c r="CL801" s="108"/>
      <c r="CM801" s="108"/>
      <c r="CN801" s="110"/>
      <c r="CO801" s="111"/>
      <c r="CP801" s="110"/>
      <c r="CQ801" s="111"/>
      <c r="CR801" s="110"/>
      <c r="CS801" s="111"/>
      <c r="CT801" s="112">
        <f t="shared" si="203"/>
        <v>0</v>
      </c>
      <c r="CU801" s="113"/>
      <c r="CV801" s="114"/>
      <c r="CW801" s="115"/>
      <c r="CX801" s="116"/>
      <c r="CY801" s="117"/>
      <c r="CZ801" s="116"/>
      <c r="DA801" s="113"/>
      <c r="DB801" s="114"/>
      <c r="DC801" s="64"/>
      <c r="DD801" s="118"/>
    </row>
    <row r="802" spans="1:108" s="119" customFormat="1" outlineLevel="2">
      <c r="A802" s="178">
        <v>40500</v>
      </c>
      <c r="B802" s="164" t="s">
        <v>952</v>
      </c>
      <c r="C802" s="164" t="s">
        <v>1250</v>
      </c>
      <c r="D802" s="165" t="s">
        <v>1182</v>
      </c>
      <c r="E802" s="163"/>
      <c r="F802" s="105"/>
      <c r="G802" s="105"/>
      <c r="H802" s="105"/>
      <c r="I802" s="105"/>
      <c r="J802" s="105"/>
      <c r="K802" s="105"/>
      <c r="L802" s="105">
        <v>1</v>
      </c>
      <c r="M802" s="105"/>
      <c r="N802" s="105"/>
      <c r="O802" s="105"/>
      <c r="P802" s="105"/>
      <c r="Q802" s="105"/>
      <c r="R802" s="105"/>
      <c r="S802" s="105"/>
      <c r="T802" s="106"/>
      <c r="U802" s="130"/>
      <c r="V802" s="1"/>
      <c r="W802" s="68">
        <f t="shared" si="198"/>
        <v>0</v>
      </c>
      <c r="X802" s="68">
        <f t="shared" si="199"/>
        <v>0</v>
      </c>
      <c r="Y802" s="68">
        <f t="shared" si="200"/>
        <v>0</v>
      </c>
      <c r="Z802" s="68">
        <f t="shared" si="201"/>
        <v>0</v>
      </c>
      <c r="AA802" s="68"/>
      <c r="AB802" s="68">
        <v>0</v>
      </c>
      <c r="AC802" s="69">
        <f t="shared" si="202"/>
        <v>0</v>
      </c>
      <c r="AD802" s="70">
        <v>0</v>
      </c>
      <c r="AE802" s="63">
        <v>40506</v>
      </c>
      <c r="AF802" s="72"/>
      <c r="AG802" s="63" t="s">
        <v>938</v>
      </c>
      <c r="AH802" s="23" t="s">
        <v>939</v>
      </c>
      <c r="AI802" s="60"/>
      <c r="AJ802" s="124" t="s">
        <v>1608</v>
      </c>
      <c r="AK802" s="121" t="s">
        <v>2053</v>
      </c>
      <c r="AL802" s="107"/>
      <c r="AM802" s="108"/>
      <c r="AN802" s="109"/>
      <c r="AO802" s="108"/>
      <c r="AP802" s="108"/>
      <c r="AQ802" s="108"/>
      <c r="AR802" s="108"/>
      <c r="AS802" s="108"/>
      <c r="AT802" s="108"/>
      <c r="AU802" s="108"/>
      <c r="AV802" s="108"/>
      <c r="AW802" s="108"/>
      <c r="AX802" s="108"/>
      <c r="AY802" s="108"/>
      <c r="AZ802" s="108"/>
      <c r="BA802" s="108"/>
      <c r="BB802" s="108"/>
      <c r="BC802" s="108"/>
      <c r="BD802" s="108"/>
      <c r="BE802" s="108"/>
      <c r="BF802" s="108"/>
      <c r="BG802" s="108"/>
      <c r="BH802" s="108"/>
      <c r="BI802" s="108"/>
      <c r="BJ802" s="108"/>
      <c r="BK802" s="108"/>
      <c r="BL802" s="108"/>
      <c r="BM802" s="108"/>
      <c r="BN802" s="108"/>
      <c r="BO802" s="108"/>
      <c r="BP802" s="108"/>
      <c r="BQ802" s="108"/>
      <c r="BR802" s="108"/>
      <c r="BS802" s="108"/>
      <c r="BT802" s="108"/>
      <c r="BU802" s="108"/>
      <c r="BV802" s="108"/>
      <c r="BW802" s="108"/>
      <c r="BX802" s="108"/>
      <c r="BY802" s="108"/>
      <c r="BZ802" s="108"/>
      <c r="CA802" s="108"/>
      <c r="CB802" s="108"/>
      <c r="CC802" s="108"/>
      <c r="CD802" s="108"/>
      <c r="CE802" s="108"/>
      <c r="CF802" s="108"/>
      <c r="CG802" s="108"/>
      <c r="CH802" s="108"/>
      <c r="CI802" s="108"/>
      <c r="CJ802" s="108"/>
      <c r="CK802" s="108"/>
      <c r="CL802" s="108"/>
      <c r="CM802" s="108"/>
      <c r="CN802" s="110"/>
      <c r="CO802" s="111"/>
      <c r="CP802" s="110"/>
      <c r="CQ802" s="111"/>
      <c r="CR802" s="110"/>
      <c r="CS802" s="111"/>
      <c r="CT802" s="112">
        <f t="shared" si="203"/>
        <v>0</v>
      </c>
      <c r="CU802" s="113"/>
      <c r="CV802" s="114"/>
      <c r="CW802" s="115"/>
      <c r="CX802" s="116"/>
      <c r="CY802" s="117"/>
      <c r="CZ802" s="116"/>
      <c r="DA802" s="113"/>
      <c r="DB802" s="114"/>
      <c r="DC802" s="64"/>
      <c r="DD802" s="118"/>
    </row>
    <row r="803" spans="1:108" s="119" customFormat="1" ht="24" outlineLevel="2">
      <c r="A803" s="178">
        <v>40500</v>
      </c>
      <c r="B803" s="164" t="s">
        <v>952</v>
      </c>
      <c r="C803" s="164" t="s">
        <v>1660</v>
      </c>
      <c r="D803" s="165" t="s">
        <v>1182</v>
      </c>
      <c r="E803" s="163"/>
      <c r="F803" s="105"/>
      <c r="G803" s="105"/>
      <c r="H803" s="105"/>
      <c r="I803" s="105"/>
      <c r="J803" s="105"/>
      <c r="K803" s="105"/>
      <c r="L803" s="105"/>
      <c r="M803" s="105">
        <v>1</v>
      </c>
      <c r="N803" s="105"/>
      <c r="O803" s="105"/>
      <c r="P803" s="105">
        <v>1</v>
      </c>
      <c r="Q803" s="105"/>
      <c r="R803" s="105"/>
      <c r="S803" s="105"/>
      <c r="T803" s="106"/>
      <c r="U803" s="130" t="s">
        <v>414</v>
      </c>
      <c r="V803" s="1"/>
      <c r="W803" s="68">
        <f t="shared" si="198"/>
        <v>0</v>
      </c>
      <c r="X803" s="68">
        <f t="shared" si="199"/>
        <v>0</v>
      </c>
      <c r="Y803" s="68">
        <f t="shared" si="200"/>
        <v>0</v>
      </c>
      <c r="Z803" s="68">
        <f t="shared" si="201"/>
        <v>0</v>
      </c>
      <c r="AA803" s="68"/>
      <c r="AB803" s="68">
        <v>0</v>
      </c>
      <c r="AC803" s="69">
        <f t="shared" si="202"/>
        <v>0</v>
      </c>
      <c r="AD803" s="70">
        <v>0</v>
      </c>
      <c r="AE803" s="63">
        <v>40506</v>
      </c>
      <c r="AF803" s="72"/>
      <c r="AG803" s="63" t="s">
        <v>938</v>
      </c>
      <c r="AH803" s="23" t="s">
        <v>939</v>
      </c>
      <c r="AI803" s="60"/>
      <c r="AJ803" s="124" t="s">
        <v>1608</v>
      </c>
      <c r="AK803" s="121" t="s">
        <v>307</v>
      </c>
      <c r="AL803" s="107"/>
      <c r="AM803" s="108"/>
      <c r="AN803" s="109"/>
      <c r="AO803" s="108"/>
      <c r="AP803" s="108"/>
      <c r="AQ803" s="108"/>
      <c r="AR803" s="108"/>
      <c r="AS803" s="108"/>
      <c r="AT803" s="108"/>
      <c r="AU803" s="108"/>
      <c r="AV803" s="108"/>
      <c r="AW803" s="108"/>
      <c r="AX803" s="108"/>
      <c r="AY803" s="108"/>
      <c r="AZ803" s="108"/>
      <c r="BA803" s="108"/>
      <c r="BB803" s="108"/>
      <c r="BC803" s="108"/>
      <c r="BD803" s="108"/>
      <c r="BE803" s="108"/>
      <c r="BF803" s="108"/>
      <c r="BG803" s="108"/>
      <c r="BH803" s="108"/>
      <c r="BI803" s="108"/>
      <c r="BJ803" s="108"/>
      <c r="BK803" s="108"/>
      <c r="BL803" s="108"/>
      <c r="BM803" s="108"/>
      <c r="BN803" s="108"/>
      <c r="BO803" s="108"/>
      <c r="BP803" s="108"/>
      <c r="BQ803" s="108"/>
      <c r="BR803" s="108"/>
      <c r="BS803" s="108"/>
      <c r="BT803" s="108"/>
      <c r="BU803" s="108"/>
      <c r="BV803" s="108"/>
      <c r="BW803" s="108"/>
      <c r="BX803" s="108"/>
      <c r="BY803" s="108"/>
      <c r="BZ803" s="108"/>
      <c r="CA803" s="108"/>
      <c r="CB803" s="108"/>
      <c r="CC803" s="108"/>
      <c r="CD803" s="108"/>
      <c r="CE803" s="108"/>
      <c r="CF803" s="108"/>
      <c r="CG803" s="108"/>
      <c r="CH803" s="108"/>
      <c r="CI803" s="108"/>
      <c r="CJ803" s="108"/>
      <c r="CK803" s="108"/>
      <c r="CL803" s="108"/>
      <c r="CM803" s="108"/>
      <c r="CN803" s="110"/>
      <c r="CO803" s="111"/>
      <c r="CP803" s="110"/>
      <c r="CQ803" s="111"/>
      <c r="CR803" s="110"/>
      <c r="CS803" s="111"/>
      <c r="CT803" s="112">
        <f t="shared" si="203"/>
        <v>0</v>
      </c>
      <c r="CU803" s="113"/>
      <c r="CV803" s="114"/>
      <c r="CW803" s="115"/>
      <c r="CX803" s="116"/>
      <c r="CY803" s="117"/>
      <c r="CZ803" s="116"/>
      <c r="DA803" s="113"/>
      <c r="DB803" s="114"/>
      <c r="DC803" s="64"/>
      <c r="DD803" s="118"/>
    </row>
    <row r="804" spans="1:108" s="119" customFormat="1" ht="24" outlineLevel="2">
      <c r="A804" s="178">
        <v>40500</v>
      </c>
      <c r="B804" s="164" t="s">
        <v>952</v>
      </c>
      <c r="C804" s="164" t="s">
        <v>631</v>
      </c>
      <c r="D804" s="165" t="s">
        <v>1182</v>
      </c>
      <c r="E804" s="163"/>
      <c r="F804" s="105"/>
      <c r="G804" s="105"/>
      <c r="H804" s="105">
        <v>1</v>
      </c>
      <c r="I804" s="105">
        <v>1</v>
      </c>
      <c r="J804" s="105">
        <v>1</v>
      </c>
      <c r="K804" s="105"/>
      <c r="L804" s="105"/>
      <c r="M804" s="105"/>
      <c r="N804" s="105"/>
      <c r="O804" s="105"/>
      <c r="P804" s="105"/>
      <c r="Q804" s="105"/>
      <c r="R804" s="105"/>
      <c r="S804" s="105"/>
      <c r="T804" s="106"/>
      <c r="U804" s="130"/>
      <c r="V804" s="1"/>
      <c r="W804" s="68">
        <f t="shared" si="198"/>
        <v>0</v>
      </c>
      <c r="X804" s="68">
        <f t="shared" si="199"/>
        <v>0</v>
      </c>
      <c r="Y804" s="68">
        <f t="shared" si="200"/>
        <v>0</v>
      </c>
      <c r="Z804" s="68">
        <f t="shared" si="201"/>
        <v>0</v>
      </c>
      <c r="AA804" s="68"/>
      <c r="AB804" s="68">
        <v>0</v>
      </c>
      <c r="AC804" s="69">
        <f t="shared" si="202"/>
        <v>0</v>
      </c>
      <c r="AD804" s="70">
        <v>0</v>
      </c>
      <c r="AE804" s="63">
        <v>40504</v>
      </c>
      <c r="AF804" s="72"/>
      <c r="AG804" s="63" t="s">
        <v>938</v>
      </c>
      <c r="AH804" s="23" t="s">
        <v>939</v>
      </c>
      <c r="AI804" s="60"/>
      <c r="AJ804" s="124" t="s">
        <v>1608</v>
      </c>
      <c r="AK804" s="121" t="s">
        <v>632</v>
      </c>
      <c r="AL804" s="107"/>
      <c r="AM804" s="108"/>
      <c r="AN804" s="109"/>
      <c r="AO804" s="108"/>
      <c r="AP804" s="108"/>
      <c r="AQ804" s="108"/>
      <c r="AR804" s="108"/>
      <c r="AS804" s="108"/>
      <c r="AT804" s="108"/>
      <c r="AU804" s="108"/>
      <c r="AV804" s="108"/>
      <c r="AW804" s="108"/>
      <c r="AX804" s="108"/>
      <c r="AY804" s="108"/>
      <c r="AZ804" s="108"/>
      <c r="BA804" s="108"/>
      <c r="BB804" s="108"/>
      <c r="BC804" s="108"/>
      <c r="BD804" s="108"/>
      <c r="BE804" s="108"/>
      <c r="BF804" s="108"/>
      <c r="BG804" s="108"/>
      <c r="BH804" s="108"/>
      <c r="BI804" s="108"/>
      <c r="BJ804" s="108"/>
      <c r="BK804" s="108"/>
      <c r="BL804" s="108"/>
      <c r="BM804" s="108"/>
      <c r="BN804" s="108"/>
      <c r="BO804" s="108"/>
      <c r="BP804" s="108"/>
      <c r="BQ804" s="108"/>
      <c r="BR804" s="108"/>
      <c r="BS804" s="108"/>
      <c r="BT804" s="108"/>
      <c r="BU804" s="108"/>
      <c r="BV804" s="108"/>
      <c r="BW804" s="108"/>
      <c r="BX804" s="108"/>
      <c r="BY804" s="108"/>
      <c r="BZ804" s="108"/>
      <c r="CA804" s="108"/>
      <c r="CB804" s="108"/>
      <c r="CC804" s="108"/>
      <c r="CD804" s="108"/>
      <c r="CE804" s="108"/>
      <c r="CF804" s="108"/>
      <c r="CG804" s="108"/>
      <c r="CH804" s="108"/>
      <c r="CI804" s="108"/>
      <c r="CJ804" s="108"/>
      <c r="CK804" s="108"/>
      <c r="CL804" s="108"/>
      <c r="CM804" s="108"/>
      <c r="CN804" s="110"/>
      <c r="CO804" s="111"/>
      <c r="CP804" s="110"/>
      <c r="CQ804" s="111"/>
      <c r="CR804" s="110"/>
      <c r="CS804" s="111"/>
      <c r="CT804" s="112">
        <f t="shared" si="203"/>
        <v>0</v>
      </c>
      <c r="CU804" s="113"/>
      <c r="CV804" s="114"/>
      <c r="CW804" s="115"/>
      <c r="CX804" s="116"/>
      <c r="CY804" s="117"/>
      <c r="CZ804" s="116"/>
      <c r="DA804" s="113"/>
      <c r="DB804" s="114"/>
      <c r="DC804" s="64"/>
      <c r="DD804" s="118"/>
    </row>
    <row r="805" spans="1:108" s="119" customFormat="1" ht="24" outlineLevel="2">
      <c r="A805" s="178">
        <v>40500</v>
      </c>
      <c r="B805" s="164" t="s">
        <v>952</v>
      </c>
      <c r="C805" s="164" t="s">
        <v>333</v>
      </c>
      <c r="D805" s="166" t="s">
        <v>1182</v>
      </c>
      <c r="E805" s="163"/>
      <c r="F805" s="105"/>
      <c r="G805" s="105"/>
      <c r="H805" s="105">
        <v>6</v>
      </c>
      <c r="I805" s="105">
        <v>1</v>
      </c>
      <c r="J805" s="105"/>
      <c r="K805" s="105">
        <v>1</v>
      </c>
      <c r="L805" s="105"/>
      <c r="M805" s="105"/>
      <c r="N805" s="105"/>
      <c r="O805" s="105"/>
      <c r="P805" s="105"/>
      <c r="Q805" s="105"/>
      <c r="R805" s="105"/>
      <c r="S805" s="105"/>
      <c r="T805" s="106"/>
      <c r="U805" s="130"/>
      <c r="V805" s="1"/>
      <c r="W805" s="68">
        <f t="shared" si="198"/>
        <v>0</v>
      </c>
      <c r="X805" s="68">
        <f t="shared" si="199"/>
        <v>0</v>
      </c>
      <c r="Y805" s="68">
        <f t="shared" si="200"/>
        <v>0</v>
      </c>
      <c r="Z805" s="68">
        <f t="shared" si="201"/>
        <v>0</v>
      </c>
      <c r="AA805" s="68"/>
      <c r="AB805" s="68">
        <v>0</v>
      </c>
      <c r="AC805" s="69">
        <f t="shared" si="202"/>
        <v>0</v>
      </c>
      <c r="AD805" s="70">
        <v>0</v>
      </c>
      <c r="AE805" s="63">
        <v>40508</v>
      </c>
      <c r="AF805" s="72"/>
      <c r="AG805" s="63" t="s">
        <v>938</v>
      </c>
      <c r="AH805" s="23" t="s">
        <v>939</v>
      </c>
      <c r="AI805" s="60"/>
      <c r="AJ805" s="124" t="s">
        <v>1608</v>
      </c>
      <c r="AK805" s="121" t="s">
        <v>334</v>
      </c>
      <c r="AL805" s="107"/>
      <c r="AM805" s="108"/>
      <c r="AN805" s="109"/>
      <c r="AO805" s="108"/>
      <c r="AP805" s="108"/>
      <c r="AQ805" s="108"/>
      <c r="AR805" s="108"/>
      <c r="AS805" s="108"/>
      <c r="AT805" s="108"/>
      <c r="AU805" s="108"/>
      <c r="AV805" s="108"/>
      <c r="AW805" s="108"/>
      <c r="AX805" s="108"/>
      <c r="AY805" s="108"/>
      <c r="AZ805" s="108"/>
      <c r="BA805" s="108"/>
      <c r="BB805" s="108"/>
      <c r="BC805" s="108"/>
      <c r="BD805" s="108"/>
      <c r="BE805" s="108"/>
      <c r="BF805" s="108"/>
      <c r="BG805" s="108"/>
      <c r="BH805" s="108"/>
      <c r="BI805" s="108"/>
      <c r="BJ805" s="108"/>
      <c r="BK805" s="108"/>
      <c r="BL805" s="108"/>
      <c r="BM805" s="108"/>
      <c r="BN805" s="108"/>
      <c r="BO805" s="108"/>
      <c r="BP805" s="108"/>
      <c r="BQ805" s="108"/>
      <c r="BR805" s="108"/>
      <c r="BS805" s="108"/>
      <c r="BT805" s="108"/>
      <c r="BU805" s="108"/>
      <c r="BV805" s="108"/>
      <c r="BW805" s="108"/>
      <c r="BX805" s="108"/>
      <c r="BY805" s="108"/>
      <c r="BZ805" s="108"/>
      <c r="CA805" s="108"/>
      <c r="CB805" s="108"/>
      <c r="CC805" s="108"/>
      <c r="CD805" s="108"/>
      <c r="CE805" s="108"/>
      <c r="CF805" s="108"/>
      <c r="CG805" s="108"/>
      <c r="CH805" s="108"/>
      <c r="CI805" s="108"/>
      <c r="CJ805" s="108"/>
      <c r="CK805" s="108"/>
      <c r="CL805" s="108"/>
      <c r="CM805" s="108"/>
      <c r="CN805" s="110"/>
      <c r="CO805" s="111"/>
      <c r="CP805" s="110"/>
      <c r="CQ805" s="111"/>
      <c r="CR805" s="110"/>
      <c r="CS805" s="111"/>
      <c r="CT805" s="112">
        <f t="shared" si="203"/>
        <v>0</v>
      </c>
      <c r="CU805" s="113"/>
      <c r="CV805" s="114"/>
      <c r="CW805" s="115"/>
      <c r="CX805" s="116"/>
      <c r="CY805" s="117"/>
      <c r="CZ805" s="116"/>
      <c r="DA805" s="113"/>
      <c r="DB805" s="114"/>
      <c r="DC805" s="64"/>
      <c r="DD805" s="118"/>
    </row>
    <row r="806" spans="1:108" s="119" customFormat="1" ht="36" outlineLevel="2">
      <c r="A806" s="178">
        <v>40500</v>
      </c>
      <c r="B806" s="164" t="s">
        <v>952</v>
      </c>
      <c r="C806" s="164" t="s">
        <v>331</v>
      </c>
      <c r="D806" s="166" t="s">
        <v>1182</v>
      </c>
      <c r="E806" s="163"/>
      <c r="F806" s="105"/>
      <c r="G806" s="105"/>
      <c r="H806" s="105">
        <v>105</v>
      </c>
      <c r="I806" s="105">
        <v>35</v>
      </c>
      <c r="J806" s="105"/>
      <c r="K806" s="105">
        <v>35</v>
      </c>
      <c r="L806" s="105"/>
      <c r="M806" s="105"/>
      <c r="N806" s="105">
        <v>1</v>
      </c>
      <c r="O806" s="105"/>
      <c r="P806" s="105"/>
      <c r="Q806" s="105"/>
      <c r="R806" s="105"/>
      <c r="S806" s="105"/>
      <c r="T806" s="106"/>
      <c r="U806" s="130"/>
      <c r="V806" s="1"/>
      <c r="W806" s="68">
        <f t="shared" si="198"/>
        <v>0</v>
      </c>
      <c r="X806" s="68">
        <f t="shared" si="199"/>
        <v>0</v>
      </c>
      <c r="Y806" s="68">
        <f t="shared" si="200"/>
        <v>0</v>
      </c>
      <c r="Z806" s="68">
        <f t="shared" si="201"/>
        <v>0</v>
      </c>
      <c r="AA806" s="68"/>
      <c r="AB806" s="68">
        <v>0</v>
      </c>
      <c r="AC806" s="69">
        <f t="shared" si="202"/>
        <v>0</v>
      </c>
      <c r="AD806" s="70">
        <v>0</v>
      </c>
      <c r="AE806" s="63">
        <v>40508</v>
      </c>
      <c r="AF806" s="72"/>
      <c r="AG806" s="63" t="s">
        <v>938</v>
      </c>
      <c r="AH806" s="23" t="s">
        <v>939</v>
      </c>
      <c r="AI806" s="60"/>
      <c r="AJ806" s="124" t="s">
        <v>1608</v>
      </c>
      <c r="AK806" s="121" t="s">
        <v>332</v>
      </c>
      <c r="AL806" s="107"/>
      <c r="AM806" s="108"/>
      <c r="AN806" s="109"/>
      <c r="AO806" s="108"/>
      <c r="AP806" s="108"/>
      <c r="AQ806" s="108"/>
      <c r="AR806" s="108"/>
      <c r="AS806" s="108"/>
      <c r="AT806" s="108"/>
      <c r="AU806" s="108"/>
      <c r="AV806" s="108"/>
      <c r="AW806" s="108"/>
      <c r="AX806" s="108"/>
      <c r="AY806" s="108"/>
      <c r="AZ806" s="108"/>
      <c r="BA806" s="108"/>
      <c r="BB806" s="108"/>
      <c r="BC806" s="108"/>
      <c r="BD806" s="108"/>
      <c r="BE806" s="108"/>
      <c r="BF806" s="108"/>
      <c r="BG806" s="108"/>
      <c r="BH806" s="108"/>
      <c r="BI806" s="108"/>
      <c r="BJ806" s="108"/>
      <c r="BK806" s="108"/>
      <c r="BL806" s="108"/>
      <c r="BM806" s="108"/>
      <c r="BN806" s="108"/>
      <c r="BO806" s="108"/>
      <c r="BP806" s="108"/>
      <c r="BQ806" s="108"/>
      <c r="BR806" s="108"/>
      <c r="BS806" s="108"/>
      <c r="BT806" s="108"/>
      <c r="BU806" s="108"/>
      <c r="BV806" s="108"/>
      <c r="BW806" s="108"/>
      <c r="BX806" s="108"/>
      <c r="BY806" s="108"/>
      <c r="BZ806" s="108"/>
      <c r="CA806" s="108"/>
      <c r="CB806" s="108"/>
      <c r="CC806" s="108"/>
      <c r="CD806" s="108"/>
      <c r="CE806" s="108"/>
      <c r="CF806" s="108"/>
      <c r="CG806" s="108"/>
      <c r="CH806" s="108"/>
      <c r="CI806" s="108"/>
      <c r="CJ806" s="108"/>
      <c r="CK806" s="108"/>
      <c r="CL806" s="108"/>
      <c r="CM806" s="108"/>
      <c r="CN806" s="110"/>
      <c r="CO806" s="111"/>
      <c r="CP806" s="110"/>
      <c r="CQ806" s="111"/>
      <c r="CR806" s="110"/>
      <c r="CS806" s="111"/>
      <c r="CT806" s="112">
        <f t="shared" si="203"/>
        <v>0</v>
      </c>
      <c r="CU806" s="113"/>
      <c r="CV806" s="114"/>
      <c r="CW806" s="115"/>
      <c r="CX806" s="116"/>
      <c r="CY806" s="117"/>
      <c r="CZ806" s="116"/>
      <c r="DA806" s="113"/>
      <c r="DB806" s="114"/>
      <c r="DC806" s="64"/>
      <c r="DD806" s="118"/>
    </row>
    <row r="807" spans="1:108" s="119" customFormat="1" ht="24" outlineLevel="2">
      <c r="A807" s="178">
        <v>40500</v>
      </c>
      <c r="B807" s="164" t="s">
        <v>952</v>
      </c>
      <c r="C807" s="164" t="s">
        <v>1663</v>
      </c>
      <c r="D807" s="165" t="s">
        <v>1182</v>
      </c>
      <c r="E807" s="163"/>
      <c r="F807" s="105"/>
      <c r="G807" s="105"/>
      <c r="H807" s="105"/>
      <c r="I807" s="105"/>
      <c r="J807" s="105"/>
      <c r="K807" s="105"/>
      <c r="L807" s="105">
        <v>1</v>
      </c>
      <c r="M807" s="105"/>
      <c r="N807" s="105"/>
      <c r="O807" s="105"/>
      <c r="P807" s="105"/>
      <c r="Q807" s="105"/>
      <c r="R807" s="105"/>
      <c r="S807" s="105"/>
      <c r="T807" s="106"/>
      <c r="U807" s="130"/>
      <c r="V807" s="1"/>
      <c r="W807" s="68">
        <f t="shared" si="198"/>
        <v>0</v>
      </c>
      <c r="X807" s="68">
        <f t="shared" si="199"/>
        <v>0</v>
      </c>
      <c r="Y807" s="68">
        <f t="shared" si="200"/>
        <v>0</v>
      </c>
      <c r="Z807" s="68">
        <f t="shared" si="201"/>
        <v>0</v>
      </c>
      <c r="AA807" s="68"/>
      <c r="AB807" s="68">
        <v>0</v>
      </c>
      <c r="AC807" s="69">
        <f t="shared" si="202"/>
        <v>0</v>
      </c>
      <c r="AD807" s="70">
        <v>0</v>
      </c>
      <c r="AE807" s="63">
        <v>40504</v>
      </c>
      <c r="AF807" s="72"/>
      <c r="AG807" s="63" t="s">
        <v>938</v>
      </c>
      <c r="AH807" s="23" t="s">
        <v>939</v>
      </c>
      <c r="AI807" s="60"/>
      <c r="AJ807" s="124" t="s">
        <v>1608</v>
      </c>
      <c r="AK807" s="121" t="s">
        <v>629</v>
      </c>
      <c r="AL807" s="107"/>
      <c r="AM807" s="108"/>
      <c r="AN807" s="109"/>
      <c r="AO807" s="108"/>
      <c r="AP807" s="108"/>
      <c r="AQ807" s="108"/>
      <c r="AR807" s="108"/>
      <c r="AS807" s="108"/>
      <c r="AT807" s="108"/>
      <c r="AU807" s="108"/>
      <c r="AV807" s="108"/>
      <c r="AW807" s="108"/>
      <c r="AX807" s="108"/>
      <c r="AY807" s="108"/>
      <c r="AZ807" s="108"/>
      <c r="BA807" s="108"/>
      <c r="BB807" s="108"/>
      <c r="BC807" s="108"/>
      <c r="BD807" s="108"/>
      <c r="BE807" s="108"/>
      <c r="BF807" s="108"/>
      <c r="BG807" s="108"/>
      <c r="BH807" s="108"/>
      <c r="BI807" s="108"/>
      <c r="BJ807" s="108"/>
      <c r="BK807" s="108"/>
      <c r="BL807" s="108"/>
      <c r="BM807" s="108"/>
      <c r="BN807" s="108"/>
      <c r="BO807" s="108"/>
      <c r="BP807" s="108"/>
      <c r="BQ807" s="108"/>
      <c r="BR807" s="108"/>
      <c r="BS807" s="108"/>
      <c r="BT807" s="108"/>
      <c r="BU807" s="108"/>
      <c r="BV807" s="108"/>
      <c r="BW807" s="108"/>
      <c r="BX807" s="108"/>
      <c r="BY807" s="108"/>
      <c r="BZ807" s="108"/>
      <c r="CA807" s="108"/>
      <c r="CB807" s="108"/>
      <c r="CC807" s="108"/>
      <c r="CD807" s="108"/>
      <c r="CE807" s="108"/>
      <c r="CF807" s="108"/>
      <c r="CG807" s="108"/>
      <c r="CH807" s="108"/>
      <c r="CI807" s="108"/>
      <c r="CJ807" s="108"/>
      <c r="CK807" s="108"/>
      <c r="CL807" s="108"/>
      <c r="CM807" s="108"/>
      <c r="CN807" s="110"/>
      <c r="CO807" s="111"/>
      <c r="CP807" s="110"/>
      <c r="CQ807" s="111"/>
      <c r="CR807" s="110"/>
      <c r="CS807" s="111"/>
      <c r="CT807" s="112">
        <f t="shared" si="203"/>
        <v>0</v>
      </c>
      <c r="CU807" s="113"/>
      <c r="CV807" s="114"/>
      <c r="CW807" s="115"/>
      <c r="CX807" s="116"/>
      <c r="CY807" s="117"/>
      <c r="CZ807" s="116"/>
      <c r="DA807" s="113"/>
      <c r="DB807" s="114"/>
      <c r="DC807" s="64"/>
      <c r="DD807" s="118"/>
    </row>
    <row r="808" spans="1:108" s="119" customFormat="1" ht="36" outlineLevel="2">
      <c r="A808" s="178">
        <v>40505</v>
      </c>
      <c r="B808" s="164" t="s">
        <v>952</v>
      </c>
      <c r="C808" s="164" t="s">
        <v>1224</v>
      </c>
      <c r="D808" s="166" t="s">
        <v>1262</v>
      </c>
      <c r="E808" s="163"/>
      <c r="F808" s="105"/>
      <c r="G808" s="105"/>
      <c r="H808" s="105">
        <v>130</v>
      </c>
      <c r="I808" s="105">
        <v>30</v>
      </c>
      <c r="J808" s="105"/>
      <c r="K808" s="105">
        <v>30</v>
      </c>
      <c r="L808" s="105"/>
      <c r="M808" s="105"/>
      <c r="N808" s="105"/>
      <c r="O808" s="105"/>
      <c r="P808" s="105"/>
      <c r="Q808" s="105"/>
      <c r="R808" s="105"/>
      <c r="S808" s="105"/>
      <c r="T808" s="106"/>
      <c r="U808" s="130" t="s">
        <v>414</v>
      </c>
      <c r="V808" s="1"/>
      <c r="W808" s="68">
        <f t="shared" si="198"/>
        <v>0</v>
      </c>
      <c r="X808" s="68">
        <f t="shared" si="199"/>
        <v>0</v>
      </c>
      <c r="Y808" s="68">
        <f t="shared" si="200"/>
        <v>0</v>
      </c>
      <c r="Z808" s="68">
        <f t="shared" si="201"/>
        <v>0</v>
      </c>
      <c r="AA808" s="68"/>
      <c r="AB808" s="68">
        <v>0</v>
      </c>
      <c r="AC808" s="69">
        <f t="shared" si="202"/>
        <v>0</v>
      </c>
      <c r="AD808" s="70">
        <v>0</v>
      </c>
      <c r="AE808" s="63">
        <v>40506</v>
      </c>
      <c r="AF808" s="72"/>
      <c r="AG808" s="63" t="s">
        <v>938</v>
      </c>
      <c r="AH808" s="23" t="s">
        <v>939</v>
      </c>
      <c r="AI808" s="60"/>
      <c r="AJ808" s="124" t="s">
        <v>1608</v>
      </c>
      <c r="AK808" s="121" t="s">
        <v>305</v>
      </c>
      <c r="AL808" s="107"/>
      <c r="AM808" s="108"/>
      <c r="AN808" s="109"/>
      <c r="AO808" s="108"/>
      <c r="AP808" s="108"/>
      <c r="AQ808" s="108"/>
      <c r="AR808" s="108"/>
      <c r="AS808" s="108"/>
      <c r="AT808" s="108"/>
      <c r="AU808" s="108"/>
      <c r="AV808" s="108"/>
      <c r="AW808" s="108"/>
      <c r="AX808" s="108"/>
      <c r="AY808" s="108"/>
      <c r="AZ808" s="108"/>
      <c r="BA808" s="108"/>
      <c r="BB808" s="108"/>
      <c r="BC808" s="108"/>
      <c r="BD808" s="108"/>
      <c r="BE808" s="108"/>
      <c r="BF808" s="108"/>
      <c r="BG808" s="108"/>
      <c r="BH808" s="108"/>
      <c r="BI808" s="108"/>
      <c r="BJ808" s="108"/>
      <c r="BK808" s="108"/>
      <c r="BL808" s="108"/>
      <c r="BM808" s="108"/>
      <c r="BN808" s="108"/>
      <c r="BO808" s="108"/>
      <c r="BP808" s="108"/>
      <c r="BQ808" s="108"/>
      <c r="BR808" s="108"/>
      <c r="BS808" s="108"/>
      <c r="BT808" s="108"/>
      <c r="BU808" s="108"/>
      <c r="BV808" s="108"/>
      <c r="BW808" s="108"/>
      <c r="BX808" s="108"/>
      <c r="BY808" s="108"/>
      <c r="BZ808" s="108"/>
      <c r="CA808" s="108"/>
      <c r="CB808" s="108"/>
      <c r="CC808" s="108"/>
      <c r="CD808" s="108"/>
      <c r="CE808" s="108"/>
      <c r="CF808" s="108"/>
      <c r="CG808" s="108"/>
      <c r="CH808" s="108"/>
      <c r="CI808" s="108"/>
      <c r="CJ808" s="108"/>
      <c r="CK808" s="108"/>
      <c r="CL808" s="108"/>
      <c r="CM808" s="108"/>
      <c r="CN808" s="110"/>
      <c r="CO808" s="111"/>
      <c r="CP808" s="110"/>
      <c r="CQ808" s="111"/>
      <c r="CR808" s="110"/>
      <c r="CS808" s="111"/>
      <c r="CT808" s="112">
        <f t="shared" si="203"/>
        <v>0</v>
      </c>
      <c r="CU808" s="113"/>
      <c r="CV808" s="114"/>
      <c r="CW808" s="115"/>
      <c r="CX808" s="116"/>
      <c r="CY808" s="117"/>
      <c r="CZ808" s="116"/>
      <c r="DA808" s="113"/>
      <c r="DB808" s="114"/>
      <c r="DC808" s="64"/>
      <c r="DD808" s="118"/>
    </row>
    <row r="809" spans="1:108" s="119" customFormat="1" ht="24" outlineLevel="2">
      <c r="A809" s="178">
        <v>40506</v>
      </c>
      <c r="B809" s="164" t="s">
        <v>952</v>
      </c>
      <c r="C809" s="164" t="s">
        <v>303</v>
      </c>
      <c r="D809" s="165" t="s">
        <v>1182</v>
      </c>
      <c r="E809" s="163"/>
      <c r="F809" s="105"/>
      <c r="G809" s="105"/>
      <c r="H809" s="105"/>
      <c r="I809" s="105"/>
      <c r="J809" s="105"/>
      <c r="K809" s="105"/>
      <c r="L809" s="105"/>
      <c r="M809" s="105"/>
      <c r="N809" s="105"/>
      <c r="O809" s="105"/>
      <c r="P809" s="105"/>
      <c r="Q809" s="105"/>
      <c r="R809" s="105">
        <v>1</v>
      </c>
      <c r="S809" s="105"/>
      <c r="T809" s="106"/>
      <c r="U809" s="130"/>
      <c r="V809" s="1"/>
      <c r="W809" s="68">
        <f t="shared" si="198"/>
        <v>0</v>
      </c>
      <c r="X809" s="68">
        <f t="shared" si="199"/>
        <v>0</v>
      </c>
      <c r="Y809" s="68">
        <f t="shared" si="200"/>
        <v>0</v>
      </c>
      <c r="Z809" s="68">
        <f t="shared" si="201"/>
        <v>0</v>
      </c>
      <c r="AA809" s="68"/>
      <c r="AB809" s="68">
        <v>0</v>
      </c>
      <c r="AC809" s="69">
        <f t="shared" si="202"/>
        <v>0</v>
      </c>
      <c r="AD809" s="70">
        <v>0</v>
      </c>
      <c r="AE809" s="63">
        <v>40506</v>
      </c>
      <c r="AF809" s="72"/>
      <c r="AG809" s="63" t="s">
        <v>938</v>
      </c>
      <c r="AH809" s="23" t="s">
        <v>939</v>
      </c>
      <c r="AI809" s="60"/>
      <c r="AJ809" s="124" t="s">
        <v>1608</v>
      </c>
      <c r="AK809" s="121" t="s">
        <v>304</v>
      </c>
      <c r="AL809" s="107"/>
      <c r="AM809" s="108"/>
      <c r="AN809" s="109"/>
      <c r="AO809" s="108"/>
      <c r="AP809" s="108"/>
      <c r="AQ809" s="108"/>
      <c r="AR809" s="108"/>
      <c r="AS809" s="108"/>
      <c r="AT809" s="108"/>
      <c r="AU809" s="108"/>
      <c r="AV809" s="108"/>
      <c r="AW809" s="108"/>
      <c r="AX809" s="108"/>
      <c r="AY809" s="108"/>
      <c r="AZ809" s="108"/>
      <c r="BA809" s="108"/>
      <c r="BB809" s="108"/>
      <c r="BC809" s="108"/>
      <c r="BD809" s="108"/>
      <c r="BE809" s="108"/>
      <c r="BF809" s="108"/>
      <c r="BG809" s="108"/>
      <c r="BH809" s="108"/>
      <c r="BI809" s="108"/>
      <c r="BJ809" s="108"/>
      <c r="BK809" s="108"/>
      <c r="BL809" s="108"/>
      <c r="BM809" s="108"/>
      <c r="BN809" s="108"/>
      <c r="BO809" s="108"/>
      <c r="BP809" s="108"/>
      <c r="BQ809" s="108"/>
      <c r="BR809" s="108"/>
      <c r="BS809" s="108"/>
      <c r="BT809" s="108"/>
      <c r="BU809" s="108"/>
      <c r="BV809" s="108"/>
      <c r="BW809" s="108"/>
      <c r="BX809" s="108"/>
      <c r="BY809" s="108"/>
      <c r="BZ809" s="108"/>
      <c r="CA809" s="108"/>
      <c r="CB809" s="108"/>
      <c r="CC809" s="108"/>
      <c r="CD809" s="108"/>
      <c r="CE809" s="108"/>
      <c r="CF809" s="108"/>
      <c r="CG809" s="108"/>
      <c r="CH809" s="108"/>
      <c r="CI809" s="108"/>
      <c r="CJ809" s="108"/>
      <c r="CK809" s="108"/>
      <c r="CL809" s="108"/>
      <c r="CM809" s="108"/>
      <c r="CN809" s="110"/>
      <c r="CO809" s="111"/>
      <c r="CP809" s="110"/>
      <c r="CQ809" s="111"/>
      <c r="CR809" s="110"/>
      <c r="CS809" s="111"/>
      <c r="CT809" s="112">
        <f t="shared" si="203"/>
        <v>0</v>
      </c>
      <c r="CU809" s="113"/>
      <c r="CV809" s="114"/>
      <c r="CW809" s="115"/>
      <c r="CX809" s="116"/>
      <c r="CY809" s="117"/>
      <c r="CZ809" s="116"/>
      <c r="DA809" s="113"/>
      <c r="DB809" s="114"/>
      <c r="DC809" s="64"/>
      <c r="DD809" s="118"/>
    </row>
    <row r="810" spans="1:108" s="119" customFormat="1" ht="24" outlineLevel="2">
      <c r="A810" s="178">
        <v>40511</v>
      </c>
      <c r="B810" s="164" t="s">
        <v>952</v>
      </c>
      <c r="C810" s="164" t="s">
        <v>1221</v>
      </c>
      <c r="D810" s="166" t="s">
        <v>1262</v>
      </c>
      <c r="E810" s="163"/>
      <c r="F810" s="105"/>
      <c r="G810" s="105"/>
      <c r="H810" s="105">
        <v>70</v>
      </c>
      <c r="I810" s="105">
        <v>15</v>
      </c>
      <c r="J810" s="105"/>
      <c r="K810" s="105">
        <v>15</v>
      </c>
      <c r="L810" s="105"/>
      <c r="M810" s="105"/>
      <c r="N810" s="105"/>
      <c r="O810" s="105"/>
      <c r="P810" s="105"/>
      <c r="Q810" s="105"/>
      <c r="R810" s="105"/>
      <c r="S810" s="105"/>
      <c r="T810" s="106"/>
      <c r="U810" s="130"/>
      <c r="V810" s="1"/>
      <c r="W810" s="68">
        <f t="shared" si="198"/>
        <v>0</v>
      </c>
      <c r="X810" s="68">
        <f t="shared" si="199"/>
        <v>0</v>
      </c>
      <c r="Y810" s="68">
        <f t="shared" si="200"/>
        <v>0</v>
      </c>
      <c r="Z810" s="68">
        <f t="shared" si="201"/>
        <v>0</v>
      </c>
      <c r="AA810" s="68"/>
      <c r="AB810" s="68">
        <v>0</v>
      </c>
      <c r="AC810" s="69">
        <f t="shared" si="202"/>
        <v>0</v>
      </c>
      <c r="AD810" s="70">
        <v>0</v>
      </c>
      <c r="AE810" s="63"/>
      <c r="AF810" s="72"/>
      <c r="AG810" s="63"/>
      <c r="AH810" s="23"/>
      <c r="AI810" s="60"/>
      <c r="AJ810" s="124"/>
      <c r="AK810" s="121" t="s">
        <v>2118</v>
      </c>
      <c r="AL810" s="107"/>
      <c r="AM810" s="108"/>
      <c r="AN810" s="109"/>
      <c r="AO810" s="108"/>
      <c r="AP810" s="108"/>
      <c r="AQ810" s="108"/>
      <c r="AR810" s="108"/>
      <c r="AS810" s="108"/>
      <c r="AT810" s="108"/>
      <c r="AU810" s="108"/>
      <c r="AV810" s="108"/>
      <c r="AW810" s="108"/>
      <c r="AX810" s="108"/>
      <c r="AY810" s="108"/>
      <c r="AZ810" s="108"/>
      <c r="BA810" s="108"/>
      <c r="BB810" s="108"/>
      <c r="BC810" s="108"/>
      <c r="BD810" s="108"/>
      <c r="BE810" s="108"/>
      <c r="BF810" s="108"/>
      <c r="BG810" s="108"/>
      <c r="BH810" s="108"/>
      <c r="BI810" s="108"/>
      <c r="BJ810" s="108"/>
      <c r="BK810" s="108"/>
      <c r="BL810" s="108"/>
      <c r="BM810" s="108"/>
      <c r="BN810" s="108"/>
      <c r="BO810" s="108"/>
      <c r="BP810" s="108"/>
      <c r="BQ810" s="108"/>
      <c r="BR810" s="108"/>
      <c r="BS810" s="108"/>
      <c r="BT810" s="108"/>
      <c r="BU810" s="108"/>
      <c r="BV810" s="108"/>
      <c r="BW810" s="108"/>
      <c r="BX810" s="108"/>
      <c r="BY810" s="108"/>
      <c r="BZ810" s="108"/>
      <c r="CA810" s="108"/>
      <c r="CB810" s="108"/>
      <c r="CC810" s="108"/>
      <c r="CD810" s="108"/>
      <c r="CE810" s="108"/>
      <c r="CF810" s="108"/>
      <c r="CG810" s="108"/>
      <c r="CH810" s="108"/>
      <c r="CI810" s="108"/>
      <c r="CJ810" s="108"/>
      <c r="CK810" s="108"/>
      <c r="CL810" s="108"/>
      <c r="CM810" s="108"/>
      <c r="CN810" s="110"/>
      <c r="CO810" s="111"/>
      <c r="CP810" s="110"/>
      <c r="CQ810" s="111"/>
      <c r="CR810" s="110"/>
      <c r="CS810" s="111"/>
      <c r="CT810" s="112">
        <f t="shared" si="203"/>
        <v>0</v>
      </c>
      <c r="CU810" s="113"/>
      <c r="CV810" s="114"/>
      <c r="CW810" s="115"/>
      <c r="CX810" s="116"/>
      <c r="CY810" s="117"/>
      <c r="CZ810" s="116"/>
      <c r="DA810" s="113"/>
      <c r="DB810" s="114"/>
      <c r="DC810" s="64"/>
      <c r="DD810" s="118"/>
    </row>
    <row r="811" spans="1:108" s="119" customFormat="1" ht="22.5" outlineLevel="2">
      <c r="A811" s="178">
        <v>40511</v>
      </c>
      <c r="B811" s="164" t="s">
        <v>952</v>
      </c>
      <c r="C811" s="164" t="s">
        <v>131</v>
      </c>
      <c r="D811" s="166" t="s">
        <v>1182</v>
      </c>
      <c r="E811" s="163"/>
      <c r="F811" s="105"/>
      <c r="G811" s="105"/>
      <c r="H811" s="105"/>
      <c r="I811" s="105"/>
      <c r="J811" s="105"/>
      <c r="K811" s="105"/>
      <c r="L811" s="105">
        <v>10</v>
      </c>
      <c r="M811" s="105"/>
      <c r="N811" s="105"/>
      <c r="O811" s="105"/>
      <c r="P811" s="105"/>
      <c r="Q811" s="105">
        <v>1</v>
      </c>
      <c r="R811" s="105"/>
      <c r="S811" s="105"/>
      <c r="T811" s="106"/>
      <c r="U811" s="130"/>
      <c r="V811" s="1"/>
      <c r="W811" s="68">
        <f t="shared" si="198"/>
        <v>0</v>
      </c>
      <c r="X811" s="68">
        <f t="shared" si="199"/>
        <v>0</v>
      </c>
      <c r="Y811" s="68">
        <f t="shared" si="200"/>
        <v>0</v>
      </c>
      <c r="Z811" s="68">
        <f t="shared" si="201"/>
        <v>0</v>
      </c>
      <c r="AA811" s="68"/>
      <c r="AB811" s="68">
        <v>0</v>
      </c>
      <c r="AC811" s="69">
        <f t="shared" si="202"/>
        <v>0</v>
      </c>
      <c r="AD811" s="70">
        <v>0</v>
      </c>
      <c r="AE811" s="63"/>
      <c r="AF811" s="72"/>
      <c r="AG811" s="63"/>
      <c r="AH811" s="23"/>
      <c r="AI811" s="60"/>
      <c r="AJ811" s="124" t="s">
        <v>185</v>
      </c>
      <c r="AK811" s="121"/>
      <c r="AL811" s="107"/>
      <c r="AM811" s="108"/>
      <c r="AN811" s="109"/>
      <c r="AO811" s="108"/>
      <c r="AP811" s="108"/>
      <c r="AQ811" s="108"/>
      <c r="AR811" s="108"/>
      <c r="AS811" s="108"/>
      <c r="AT811" s="108"/>
      <c r="AU811" s="108"/>
      <c r="AV811" s="108"/>
      <c r="AW811" s="108"/>
      <c r="AX811" s="108"/>
      <c r="AY811" s="108"/>
      <c r="AZ811" s="108"/>
      <c r="BA811" s="108"/>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8"/>
      <c r="CB811" s="108"/>
      <c r="CC811" s="108"/>
      <c r="CD811" s="108"/>
      <c r="CE811" s="108"/>
      <c r="CF811" s="108"/>
      <c r="CG811" s="108"/>
      <c r="CH811" s="108"/>
      <c r="CI811" s="108"/>
      <c r="CJ811" s="108"/>
      <c r="CK811" s="108"/>
      <c r="CL811" s="108"/>
      <c r="CM811" s="108"/>
      <c r="CN811" s="110"/>
      <c r="CO811" s="111"/>
      <c r="CP811" s="110"/>
      <c r="CQ811" s="111"/>
      <c r="CR811" s="110"/>
      <c r="CS811" s="111"/>
      <c r="CT811" s="112">
        <f t="shared" si="203"/>
        <v>0</v>
      </c>
      <c r="CU811" s="113"/>
      <c r="CV811" s="114"/>
      <c r="CW811" s="115"/>
      <c r="CX811" s="116"/>
      <c r="CY811" s="117"/>
      <c r="CZ811" s="116"/>
      <c r="DA811" s="113"/>
      <c r="DB811" s="114"/>
      <c r="DC811" s="64"/>
      <c r="DD811" s="118"/>
    </row>
    <row r="812" spans="1:108" s="119" customFormat="1" ht="24" outlineLevel="2">
      <c r="A812" s="178">
        <v>40512</v>
      </c>
      <c r="B812" s="164" t="s">
        <v>952</v>
      </c>
      <c r="C812" s="164" t="s">
        <v>1605</v>
      </c>
      <c r="D812" s="166" t="s">
        <v>1262</v>
      </c>
      <c r="E812" s="163"/>
      <c r="F812" s="105"/>
      <c r="G812" s="105"/>
      <c r="H812" s="105">
        <v>263</v>
      </c>
      <c r="I812" s="105">
        <v>53</v>
      </c>
      <c r="J812" s="105"/>
      <c r="K812" s="105">
        <v>53</v>
      </c>
      <c r="L812" s="105"/>
      <c r="M812" s="105"/>
      <c r="N812" s="105"/>
      <c r="O812" s="105"/>
      <c r="P812" s="105"/>
      <c r="Q812" s="105"/>
      <c r="R812" s="105"/>
      <c r="S812" s="105"/>
      <c r="T812" s="106"/>
      <c r="U812" s="130"/>
      <c r="V812" s="1"/>
      <c r="W812" s="68">
        <f t="shared" si="198"/>
        <v>0</v>
      </c>
      <c r="X812" s="68">
        <f t="shared" si="199"/>
        <v>0</v>
      </c>
      <c r="Y812" s="68">
        <f t="shared" si="200"/>
        <v>0</v>
      </c>
      <c r="Z812" s="68">
        <f t="shared" si="201"/>
        <v>0</v>
      </c>
      <c r="AA812" s="68"/>
      <c r="AB812" s="68">
        <v>0</v>
      </c>
      <c r="AC812" s="69">
        <f t="shared" si="202"/>
        <v>0</v>
      </c>
      <c r="AD812" s="70">
        <v>0</v>
      </c>
      <c r="AE812" s="63"/>
      <c r="AF812" s="72"/>
      <c r="AG812" s="63"/>
      <c r="AH812" s="23"/>
      <c r="AI812" s="60"/>
      <c r="AJ812" s="124"/>
      <c r="AK812" s="121" t="s">
        <v>2117</v>
      </c>
      <c r="AL812" s="107"/>
      <c r="AM812" s="108"/>
      <c r="AN812" s="109"/>
      <c r="AO812" s="108"/>
      <c r="AP812" s="108"/>
      <c r="AQ812" s="108"/>
      <c r="AR812" s="108"/>
      <c r="AS812" s="108"/>
      <c r="AT812" s="108"/>
      <c r="AU812" s="108"/>
      <c r="AV812" s="108"/>
      <c r="AW812" s="108"/>
      <c r="AX812" s="108"/>
      <c r="AY812" s="108"/>
      <c r="AZ812" s="108"/>
      <c r="BA812" s="108"/>
      <c r="BB812" s="108"/>
      <c r="BC812" s="108"/>
      <c r="BD812" s="108"/>
      <c r="BE812" s="108"/>
      <c r="BF812" s="108"/>
      <c r="BG812" s="108"/>
      <c r="BH812" s="108"/>
      <c r="BI812" s="108"/>
      <c r="BJ812" s="108"/>
      <c r="BK812" s="108"/>
      <c r="BL812" s="108"/>
      <c r="BM812" s="108"/>
      <c r="BN812" s="108"/>
      <c r="BO812" s="108"/>
      <c r="BP812" s="108"/>
      <c r="BQ812" s="108"/>
      <c r="BR812" s="108"/>
      <c r="BS812" s="108"/>
      <c r="BT812" s="108"/>
      <c r="BU812" s="108"/>
      <c r="BV812" s="108"/>
      <c r="BW812" s="108"/>
      <c r="BX812" s="108"/>
      <c r="BY812" s="108"/>
      <c r="BZ812" s="108"/>
      <c r="CA812" s="108"/>
      <c r="CB812" s="108"/>
      <c r="CC812" s="108"/>
      <c r="CD812" s="108"/>
      <c r="CE812" s="108"/>
      <c r="CF812" s="108"/>
      <c r="CG812" s="108"/>
      <c r="CH812" s="108"/>
      <c r="CI812" s="108"/>
      <c r="CJ812" s="108"/>
      <c r="CK812" s="108"/>
      <c r="CL812" s="108"/>
      <c r="CM812" s="108"/>
      <c r="CN812" s="110"/>
      <c r="CO812" s="111"/>
      <c r="CP812" s="110"/>
      <c r="CQ812" s="111"/>
      <c r="CR812" s="110"/>
      <c r="CS812" s="111"/>
      <c r="CT812" s="112">
        <f t="shared" si="203"/>
        <v>0</v>
      </c>
      <c r="CU812" s="113"/>
      <c r="CV812" s="114"/>
      <c r="CW812" s="115"/>
      <c r="CX812" s="116"/>
      <c r="CY812" s="117"/>
      <c r="CZ812" s="116"/>
      <c r="DA812" s="113"/>
      <c r="DB812" s="114"/>
      <c r="DC812" s="64"/>
      <c r="DD812" s="118"/>
    </row>
    <row r="813" spans="1:108" s="119" customFormat="1" ht="24" outlineLevel="2">
      <c r="A813" s="178">
        <v>40512</v>
      </c>
      <c r="B813" s="164" t="s">
        <v>952</v>
      </c>
      <c r="C813" s="164" t="s">
        <v>2119</v>
      </c>
      <c r="D813" s="166" t="s">
        <v>1262</v>
      </c>
      <c r="E813" s="163"/>
      <c r="F813" s="105"/>
      <c r="G813" s="105"/>
      <c r="H813" s="105">
        <v>15</v>
      </c>
      <c r="I813" s="105">
        <v>3</v>
      </c>
      <c r="J813" s="105"/>
      <c r="K813" s="105">
        <v>3</v>
      </c>
      <c r="L813" s="105"/>
      <c r="M813" s="105"/>
      <c r="N813" s="105"/>
      <c r="O813" s="105"/>
      <c r="P813" s="105"/>
      <c r="Q813" s="105"/>
      <c r="R813" s="105"/>
      <c r="S813" s="105"/>
      <c r="T813" s="106"/>
      <c r="U813" s="130"/>
      <c r="V813" s="1"/>
      <c r="W813" s="68">
        <f t="shared" si="198"/>
        <v>0</v>
      </c>
      <c r="X813" s="68">
        <f t="shared" si="199"/>
        <v>0</v>
      </c>
      <c r="Y813" s="68">
        <f t="shared" si="200"/>
        <v>0</v>
      </c>
      <c r="Z813" s="68">
        <f t="shared" si="201"/>
        <v>0</v>
      </c>
      <c r="AA813" s="68"/>
      <c r="AB813" s="68">
        <v>0</v>
      </c>
      <c r="AC813" s="69">
        <f t="shared" si="202"/>
        <v>0</v>
      </c>
      <c r="AD813" s="70">
        <v>0</v>
      </c>
      <c r="AE813" s="63"/>
      <c r="AF813" s="72"/>
      <c r="AG813" s="63"/>
      <c r="AH813" s="23"/>
      <c r="AI813" s="60"/>
      <c r="AJ813" s="124"/>
      <c r="AK813" s="121" t="s">
        <v>2120</v>
      </c>
      <c r="AL813" s="107"/>
      <c r="AM813" s="108"/>
      <c r="AN813" s="109"/>
      <c r="AO813" s="108"/>
      <c r="AP813" s="108"/>
      <c r="AQ813" s="108"/>
      <c r="AR813" s="108"/>
      <c r="AS813" s="108"/>
      <c r="AT813" s="108"/>
      <c r="AU813" s="108"/>
      <c r="AV813" s="108"/>
      <c r="AW813" s="108"/>
      <c r="AX813" s="108"/>
      <c r="AY813" s="108"/>
      <c r="AZ813" s="108"/>
      <c r="BA813" s="108"/>
      <c r="BB813" s="108"/>
      <c r="BC813" s="108"/>
      <c r="BD813" s="108"/>
      <c r="BE813" s="108"/>
      <c r="BF813" s="108"/>
      <c r="BG813" s="108"/>
      <c r="BH813" s="108"/>
      <c r="BI813" s="108"/>
      <c r="BJ813" s="108"/>
      <c r="BK813" s="108"/>
      <c r="BL813" s="108"/>
      <c r="BM813" s="108"/>
      <c r="BN813" s="108"/>
      <c r="BO813" s="108"/>
      <c r="BP813" s="108"/>
      <c r="BQ813" s="108"/>
      <c r="BR813" s="108"/>
      <c r="BS813" s="108"/>
      <c r="BT813" s="108"/>
      <c r="BU813" s="108"/>
      <c r="BV813" s="108"/>
      <c r="BW813" s="108"/>
      <c r="BX813" s="108"/>
      <c r="BY813" s="108"/>
      <c r="BZ813" s="108"/>
      <c r="CA813" s="108"/>
      <c r="CB813" s="108"/>
      <c r="CC813" s="108"/>
      <c r="CD813" s="108"/>
      <c r="CE813" s="108"/>
      <c r="CF813" s="108"/>
      <c r="CG813" s="108"/>
      <c r="CH813" s="108"/>
      <c r="CI813" s="108"/>
      <c r="CJ813" s="108"/>
      <c r="CK813" s="108"/>
      <c r="CL813" s="108"/>
      <c r="CM813" s="108"/>
      <c r="CN813" s="110"/>
      <c r="CO813" s="111"/>
      <c r="CP813" s="110"/>
      <c r="CQ813" s="111"/>
      <c r="CR813" s="110"/>
      <c r="CS813" s="111"/>
      <c r="CT813" s="112">
        <f t="shared" si="203"/>
        <v>0</v>
      </c>
      <c r="CU813" s="113"/>
      <c r="CV813" s="114"/>
      <c r="CW813" s="115"/>
      <c r="CX813" s="116"/>
      <c r="CY813" s="117"/>
      <c r="CZ813" s="116"/>
      <c r="DA813" s="113"/>
      <c r="DB813" s="114"/>
      <c r="DC813" s="64"/>
      <c r="DD813" s="118"/>
    </row>
    <row r="814" spans="1:108" s="119" customFormat="1" ht="36" outlineLevel="2">
      <c r="A814" s="178">
        <v>40512</v>
      </c>
      <c r="B814" s="164" t="s">
        <v>952</v>
      </c>
      <c r="C814" s="164" t="s">
        <v>303</v>
      </c>
      <c r="D814" s="166" t="s">
        <v>1262</v>
      </c>
      <c r="E814" s="163"/>
      <c r="F814" s="105"/>
      <c r="G814" s="105"/>
      <c r="H814" s="105">
        <v>51</v>
      </c>
      <c r="I814" s="105">
        <v>13</v>
      </c>
      <c r="J814" s="105"/>
      <c r="K814" s="105">
        <v>13</v>
      </c>
      <c r="L814" s="105"/>
      <c r="M814" s="105"/>
      <c r="N814" s="105"/>
      <c r="O814" s="105"/>
      <c r="P814" s="105"/>
      <c r="Q814" s="105"/>
      <c r="R814" s="105"/>
      <c r="S814" s="105"/>
      <c r="T814" s="106"/>
      <c r="U814" s="130"/>
      <c r="V814" s="1"/>
      <c r="W814" s="68">
        <f t="shared" si="198"/>
        <v>0</v>
      </c>
      <c r="X814" s="68">
        <f t="shared" si="199"/>
        <v>0</v>
      </c>
      <c r="Y814" s="68">
        <f t="shared" si="200"/>
        <v>0</v>
      </c>
      <c r="Z814" s="68">
        <f t="shared" si="201"/>
        <v>0</v>
      </c>
      <c r="AA814" s="68"/>
      <c r="AB814" s="68">
        <v>0</v>
      </c>
      <c r="AC814" s="69">
        <f t="shared" si="202"/>
        <v>0</v>
      </c>
      <c r="AD814" s="70">
        <v>0</v>
      </c>
      <c r="AE814" s="63"/>
      <c r="AF814" s="72"/>
      <c r="AG814" s="63"/>
      <c r="AH814" s="23"/>
      <c r="AI814" s="60"/>
      <c r="AJ814" s="124"/>
      <c r="AK814" s="121" t="s">
        <v>2116</v>
      </c>
      <c r="AL814" s="107"/>
      <c r="AM814" s="108"/>
      <c r="AN814" s="109"/>
      <c r="AO814" s="108"/>
      <c r="AP814" s="108"/>
      <c r="AQ814" s="108"/>
      <c r="AR814" s="108"/>
      <c r="AS814" s="108"/>
      <c r="AT814" s="108"/>
      <c r="AU814" s="108"/>
      <c r="AV814" s="108"/>
      <c r="AW814" s="108"/>
      <c r="AX814" s="108"/>
      <c r="AY814" s="108"/>
      <c r="AZ814" s="108"/>
      <c r="BA814" s="108"/>
      <c r="BB814" s="108"/>
      <c r="BC814" s="108"/>
      <c r="BD814" s="108"/>
      <c r="BE814" s="108"/>
      <c r="BF814" s="108"/>
      <c r="BG814" s="108"/>
      <c r="BH814" s="108"/>
      <c r="BI814" s="108"/>
      <c r="BJ814" s="108"/>
      <c r="BK814" s="108"/>
      <c r="BL814" s="108"/>
      <c r="BM814" s="108"/>
      <c r="BN814" s="108"/>
      <c r="BO814" s="108"/>
      <c r="BP814" s="108"/>
      <c r="BQ814" s="108"/>
      <c r="BR814" s="108"/>
      <c r="BS814" s="108"/>
      <c r="BT814" s="108"/>
      <c r="BU814" s="108"/>
      <c r="BV814" s="108"/>
      <c r="BW814" s="108"/>
      <c r="BX814" s="108"/>
      <c r="BY814" s="108"/>
      <c r="BZ814" s="108"/>
      <c r="CA814" s="108"/>
      <c r="CB814" s="108"/>
      <c r="CC814" s="108"/>
      <c r="CD814" s="108"/>
      <c r="CE814" s="108"/>
      <c r="CF814" s="108"/>
      <c r="CG814" s="108"/>
      <c r="CH814" s="108"/>
      <c r="CI814" s="108"/>
      <c r="CJ814" s="108"/>
      <c r="CK814" s="108"/>
      <c r="CL814" s="108"/>
      <c r="CM814" s="108"/>
      <c r="CN814" s="110"/>
      <c r="CO814" s="111"/>
      <c r="CP814" s="110"/>
      <c r="CQ814" s="111"/>
      <c r="CR814" s="110"/>
      <c r="CS814" s="111"/>
      <c r="CT814" s="112">
        <f t="shared" si="203"/>
        <v>0</v>
      </c>
      <c r="CU814" s="113"/>
      <c r="CV814" s="114"/>
      <c r="CW814" s="115"/>
      <c r="CX814" s="116"/>
      <c r="CY814" s="117"/>
      <c r="CZ814" s="116"/>
      <c r="DA814" s="113"/>
      <c r="DB814" s="114"/>
      <c r="DC814" s="64"/>
      <c r="DD814" s="118"/>
    </row>
    <row r="815" spans="1:108" s="119" customFormat="1" ht="24" outlineLevel="2">
      <c r="A815" s="178">
        <v>40513</v>
      </c>
      <c r="B815" s="164" t="s">
        <v>952</v>
      </c>
      <c r="C815" s="164" t="s">
        <v>1661</v>
      </c>
      <c r="D815" s="166" t="s">
        <v>1182</v>
      </c>
      <c r="E815" s="163">
        <v>1</v>
      </c>
      <c r="F815" s="105"/>
      <c r="G815" s="105"/>
      <c r="H815" s="105">
        <v>18</v>
      </c>
      <c r="I815" s="105">
        <v>4</v>
      </c>
      <c r="J815" s="105">
        <v>1</v>
      </c>
      <c r="K815" s="105">
        <v>3</v>
      </c>
      <c r="L815" s="105"/>
      <c r="M815" s="105"/>
      <c r="N815" s="105"/>
      <c r="O815" s="105"/>
      <c r="P815" s="105"/>
      <c r="Q815" s="105"/>
      <c r="R815" s="105"/>
      <c r="S815" s="105"/>
      <c r="T815" s="106"/>
      <c r="U815" s="130"/>
      <c r="V815" s="1"/>
      <c r="W815" s="68">
        <f t="shared" ref="W815:W825" si="204">CT815</f>
        <v>0</v>
      </c>
      <c r="X815" s="68">
        <f t="shared" ref="X815:X825" si="205">CX815</f>
        <v>0</v>
      </c>
      <c r="Y815" s="68">
        <f t="shared" ref="Y815:Y825" si="206">CZ815+DB815</f>
        <v>0</v>
      </c>
      <c r="Z815" s="68">
        <f t="shared" ref="Z815:Z825" si="207">CV815</f>
        <v>0</v>
      </c>
      <c r="AA815" s="68"/>
      <c r="AB815" s="68">
        <v>0</v>
      </c>
      <c r="AC815" s="69">
        <f t="shared" ref="AC815:AC825" si="208">W815+X815+Y815+Z815+AA815+AB815</f>
        <v>0</v>
      </c>
      <c r="AD815" s="70">
        <v>0</v>
      </c>
      <c r="AE815" s="63"/>
      <c r="AF815" s="72"/>
      <c r="AG815" s="63"/>
      <c r="AH815" s="23"/>
      <c r="AI815" s="60"/>
      <c r="AJ815" s="124"/>
      <c r="AK815" s="121" t="s">
        <v>2115</v>
      </c>
      <c r="AL815" s="107"/>
      <c r="AM815" s="108"/>
      <c r="AN815" s="109"/>
      <c r="AO815" s="108"/>
      <c r="AP815" s="108"/>
      <c r="AQ815" s="108"/>
      <c r="AR815" s="108"/>
      <c r="AS815" s="108"/>
      <c r="AT815" s="108"/>
      <c r="AU815" s="108"/>
      <c r="AV815" s="108"/>
      <c r="AW815" s="108"/>
      <c r="AX815" s="108"/>
      <c r="AY815" s="108"/>
      <c r="AZ815" s="108"/>
      <c r="BA815" s="108"/>
      <c r="BB815" s="108"/>
      <c r="BC815" s="108"/>
      <c r="BD815" s="108"/>
      <c r="BE815" s="108"/>
      <c r="BF815" s="108"/>
      <c r="BG815" s="108"/>
      <c r="BH815" s="108"/>
      <c r="BI815" s="108"/>
      <c r="BJ815" s="108"/>
      <c r="BK815" s="108"/>
      <c r="BL815" s="108"/>
      <c r="BM815" s="108"/>
      <c r="BN815" s="108"/>
      <c r="BO815" s="108"/>
      <c r="BP815" s="108"/>
      <c r="BQ815" s="108"/>
      <c r="BR815" s="108"/>
      <c r="BS815" s="108"/>
      <c r="BT815" s="108"/>
      <c r="BU815" s="108"/>
      <c r="BV815" s="108"/>
      <c r="BW815" s="108"/>
      <c r="BX815" s="108"/>
      <c r="BY815" s="108"/>
      <c r="BZ815" s="108"/>
      <c r="CA815" s="108"/>
      <c r="CB815" s="108"/>
      <c r="CC815" s="108"/>
      <c r="CD815" s="108"/>
      <c r="CE815" s="108"/>
      <c r="CF815" s="108"/>
      <c r="CG815" s="108"/>
      <c r="CH815" s="108"/>
      <c r="CI815" s="108"/>
      <c r="CJ815" s="108"/>
      <c r="CK815" s="108"/>
      <c r="CL815" s="108"/>
      <c r="CM815" s="108"/>
      <c r="CN815" s="110"/>
      <c r="CO815" s="111"/>
      <c r="CP815" s="110"/>
      <c r="CQ815" s="111"/>
      <c r="CR815" s="110"/>
      <c r="CS815" s="111"/>
      <c r="CT815" s="112">
        <f t="shared" ref="CT815:CT825" si="209">AM815+AO815+AQ815+AS815+AU815+AW815+AY815+BA815+BC815+BE815+BG815+BI815+BK815+BM815+BO815+BQ815+BS815+BU815+BW815+BY815+CA815+CC815+CE815+CG815+CI815+CK815+CM815+CO815+CQ815+CS815</f>
        <v>0</v>
      </c>
      <c r="CU815" s="113"/>
      <c r="CV815" s="114"/>
      <c r="CW815" s="115"/>
      <c r="CX815" s="116"/>
      <c r="CY815" s="117"/>
      <c r="CZ815" s="116"/>
      <c r="DA815" s="113"/>
      <c r="DB815" s="114"/>
      <c r="DC815" s="64"/>
      <c r="DD815" s="118"/>
    </row>
    <row r="816" spans="1:108" s="119" customFormat="1" outlineLevel="2">
      <c r="A816" s="178">
        <v>40515</v>
      </c>
      <c r="B816" s="164" t="s">
        <v>952</v>
      </c>
      <c r="C816" s="164" t="s">
        <v>2162</v>
      </c>
      <c r="D816" s="166" t="s">
        <v>1182</v>
      </c>
      <c r="E816" s="163"/>
      <c r="F816" s="105"/>
      <c r="G816" s="105"/>
      <c r="H816" s="105">
        <v>12</v>
      </c>
      <c r="I816" s="105">
        <v>3</v>
      </c>
      <c r="J816" s="105"/>
      <c r="K816" s="105">
        <v>3</v>
      </c>
      <c r="L816" s="105"/>
      <c r="M816" s="105"/>
      <c r="N816" s="105"/>
      <c r="O816" s="105"/>
      <c r="P816" s="105"/>
      <c r="Q816" s="105"/>
      <c r="R816" s="105"/>
      <c r="S816" s="105"/>
      <c r="T816" s="106"/>
      <c r="U816" s="130"/>
      <c r="V816" s="1"/>
      <c r="W816" s="68">
        <f t="shared" si="204"/>
        <v>0</v>
      </c>
      <c r="X816" s="68">
        <f t="shared" si="205"/>
        <v>0</v>
      </c>
      <c r="Y816" s="68">
        <f t="shared" si="206"/>
        <v>0</v>
      </c>
      <c r="Z816" s="68">
        <f t="shared" si="207"/>
        <v>0</v>
      </c>
      <c r="AA816" s="68"/>
      <c r="AB816" s="68">
        <v>0</v>
      </c>
      <c r="AC816" s="69">
        <f t="shared" si="208"/>
        <v>0</v>
      </c>
      <c r="AD816" s="70">
        <v>0</v>
      </c>
      <c r="AE816" s="63"/>
      <c r="AF816" s="72"/>
      <c r="AG816" s="63"/>
      <c r="AH816" s="23"/>
      <c r="AI816" s="60"/>
      <c r="AJ816" s="124"/>
      <c r="AK816" s="121" t="s">
        <v>437</v>
      </c>
      <c r="AL816" s="107"/>
      <c r="AM816" s="108"/>
      <c r="AN816" s="109"/>
      <c r="AO816" s="108"/>
      <c r="AP816" s="108"/>
      <c r="AQ816" s="108"/>
      <c r="AR816" s="108"/>
      <c r="AS816" s="108"/>
      <c r="AT816" s="108"/>
      <c r="AU816" s="108"/>
      <c r="AV816" s="108"/>
      <c r="AW816" s="108"/>
      <c r="AX816" s="108"/>
      <c r="AY816" s="108"/>
      <c r="AZ816" s="108"/>
      <c r="BA816" s="108"/>
      <c r="BB816" s="108"/>
      <c r="BC816" s="108"/>
      <c r="BD816" s="108"/>
      <c r="BE816" s="108"/>
      <c r="BF816" s="108"/>
      <c r="BG816" s="108"/>
      <c r="BH816" s="108"/>
      <c r="BI816" s="108"/>
      <c r="BJ816" s="108"/>
      <c r="BK816" s="108"/>
      <c r="BL816" s="108"/>
      <c r="BM816" s="108"/>
      <c r="BN816" s="108"/>
      <c r="BO816" s="108"/>
      <c r="BP816" s="108"/>
      <c r="BQ816" s="108"/>
      <c r="BR816" s="108"/>
      <c r="BS816" s="108"/>
      <c r="BT816" s="108"/>
      <c r="BU816" s="108"/>
      <c r="BV816" s="108"/>
      <c r="BW816" s="108"/>
      <c r="BX816" s="108"/>
      <c r="BY816" s="108"/>
      <c r="BZ816" s="108"/>
      <c r="CA816" s="108"/>
      <c r="CB816" s="108"/>
      <c r="CC816" s="108"/>
      <c r="CD816" s="108"/>
      <c r="CE816" s="108"/>
      <c r="CF816" s="108"/>
      <c r="CG816" s="108"/>
      <c r="CH816" s="108"/>
      <c r="CI816" s="108"/>
      <c r="CJ816" s="108"/>
      <c r="CK816" s="108"/>
      <c r="CL816" s="108"/>
      <c r="CM816" s="108"/>
      <c r="CN816" s="110"/>
      <c r="CO816" s="111"/>
      <c r="CP816" s="110"/>
      <c r="CQ816" s="111"/>
      <c r="CR816" s="110"/>
      <c r="CS816" s="111"/>
      <c r="CT816" s="112">
        <f t="shared" si="209"/>
        <v>0</v>
      </c>
      <c r="CU816" s="113"/>
      <c r="CV816" s="114"/>
      <c r="CW816" s="115"/>
      <c r="CX816" s="116"/>
      <c r="CY816" s="117"/>
      <c r="CZ816" s="116"/>
      <c r="DA816" s="113"/>
      <c r="DB816" s="114"/>
      <c r="DC816" s="64"/>
      <c r="DD816" s="118"/>
    </row>
    <row r="817" spans="1:108" s="119" customFormat="1" ht="36" outlineLevel="2">
      <c r="A817" s="178">
        <v>40515</v>
      </c>
      <c r="B817" s="164" t="s">
        <v>952</v>
      </c>
      <c r="C817" s="164" t="s">
        <v>329</v>
      </c>
      <c r="D817" s="166" t="s">
        <v>1262</v>
      </c>
      <c r="E817" s="163"/>
      <c r="F817" s="105"/>
      <c r="G817" s="105"/>
      <c r="H817" s="105"/>
      <c r="I817" s="105"/>
      <c r="J817" s="105"/>
      <c r="K817" s="105"/>
      <c r="L817" s="105"/>
      <c r="M817" s="105"/>
      <c r="N817" s="105"/>
      <c r="O817" s="105"/>
      <c r="P817" s="105"/>
      <c r="Q817" s="105"/>
      <c r="R817" s="105"/>
      <c r="S817" s="105"/>
      <c r="T817" s="106"/>
      <c r="U817" s="130" t="s">
        <v>2180</v>
      </c>
      <c r="V817" s="1"/>
      <c r="W817" s="68">
        <f t="shared" si="204"/>
        <v>0</v>
      </c>
      <c r="X817" s="68">
        <f t="shared" si="205"/>
        <v>0</v>
      </c>
      <c r="Y817" s="68">
        <f t="shared" si="206"/>
        <v>0</v>
      </c>
      <c r="Z817" s="68">
        <f t="shared" si="207"/>
        <v>0</v>
      </c>
      <c r="AA817" s="68"/>
      <c r="AB817" s="68">
        <v>0</v>
      </c>
      <c r="AC817" s="69">
        <f t="shared" si="208"/>
        <v>0</v>
      </c>
      <c r="AD817" s="70">
        <v>0</v>
      </c>
      <c r="AE817" s="63"/>
      <c r="AF817" s="72"/>
      <c r="AG817" s="63"/>
      <c r="AH817" s="23"/>
      <c r="AI817" s="60"/>
      <c r="AJ817" s="124"/>
      <c r="AK817" s="121" t="s">
        <v>2179</v>
      </c>
      <c r="AL817" s="107"/>
      <c r="AM817" s="108"/>
      <c r="AN817" s="109"/>
      <c r="AO817" s="108"/>
      <c r="AP817" s="108"/>
      <c r="AQ817" s="108"/>
      <c r="AR817" s="108"/>
      <c r="AS817" s="108"/>
      <c r="AT817" s="108"/>
      <c r="AU817" s="108"/>
      <c r="AV817" s="108"/>
      <c r="AW817" s="108"/>
      <c r="AX817" s="108"/>
      <c r="AY817" s="108"/>
      <c r="AZ817" s="108"/>
      <c r="BA817" s="108"/>
      <c r="BB817" s="108"/>
      <c r="BC817" s="108"/>
      <c r="BD817" s="108"/>
      <c r="BE817" s="108"/>
      <c r="BF817" s="108"/>
      <c r="BG817" s="108"/>
      <c r="BH817" s="108"/>
      <c r="BI817" s="108"/>
      <c r="BJ817" s="108"/>
      <c r="BK817" s="108"/>
      <c r="BL817" s="108"/>
      <c r="BM817" s="108"/>
      <c r="BN817" s="108"/>
      <c r="BO817" s="108"/>
      <c r="BP817" s="108"/>
      <c r="BQ817" s="108"/>
      <c r="BR817" s="108"/>
      <c r="BS817" s="108"/>
      <c r="BT817" s="108"/>
      <c r="BU817" s="108"/>
      <c r="BV817" s="108"/>
      <c r="BW817" s="108"/>
      <c r="BX817" s="108"/>
      <c r="BY817" s="108"/>
      <c r="BZ817" s="108"/>
      <c r="CA817" s="108"/>
      <c r="CB817" s="108"/>
      <c r="CC817" s="108"/>
      <c r="CD817" s="108"/>
      <c r="CE817" s="108"/>
      <c r="CF817" s="108"/>
      <c r="CG817" s="108"/>
      <c r="CH817" s="108"/>
      <c r="CI817" s="108"/>
      <c r="CJ817" s="108"/>
      <c r="CK817" s="108"/>
      <c r="CL817" s="108"/>
      <c r="CM817" s="108"/>
      <c r="CN817" s="110"/>
      <c r="CO817" s="111"/>
      <c r="CP817" s="110"/>
      <c r="CQ817" s="111"/>
      <c r="CR817" s="110"/>
      <c r="CS817" s="111"/>
      <c r="CT817" s="112">
        <f t="shared" si="209"/>
        <v>0</v>
      </c>
      <c r="CU817" s="113"/>
      <c r="CV817" s="114"/>
      <c r="CW817" s="115"/>
      <c r="CX817" s="116"/>
      <c r="CY817" s="117"/>
      <c r="CZ817" s="116"/>
      <c r="DA817" s="113"/>
      <c r="DB817" s="114"/>
      <c r="DC817" s="64"/>
      <c r="DD817" s="118"/>
    </row>
    <row r="818" spans="1:108" s="119" customFormat="1" ht="24" outlineLevel="2">
      <c r="A818" s="178">
        <v>40515</v>
      </c>
      <c r="B818" s="164" t="s">
        <v>952</v>
      </c>
      <c r="C818" s="164" t="s">
        <v>2177</v>
      </c>
      <c r="D818" s="166" t="s">
        <v>1262</v>
      </c>
      <c r="E818" s="163"/>
      <c r="F818" s="105"/>
      <c r="G818" s="105"/>
      <c r="H818" s="105">
        <v>50</v>
      </c>
      <c r="I818" s="105">
        <v>10</v>
      </c>
      <c r="J818" s="105"/>
      <c r="K818" s="105">
        <v>10</v>
      </c>
      <c r="L818" s="105"/>
      <c r="M818" s="105"/>
      <c r="N818" s="105"/>
      <c r="O818" s="105"/>
      <c r="P818" s="105"/>
      <c r="Q818" s="105"/>
      <c r="R818" s="105"/>
      <c r="S818" s="105"/>
      <c r="T818" s="106"/>
      <c r="U818" s="130"/>
      <c r="V818" s="1"/>
      <c r="W818" s="68">
        <f t="shared" si="204"/>
        <v>0</v>
      </c>
      <c r="X818" s="68">
        <f t="shared" si="205"/>
        <v>0</v>
      </c>
      <c r="Y818" s="68">
        <f t="shared" si="206"/>
        <v>0</v>
      </c>
      <c r="Z818" s="68">
        <f t="shared" si="207"/>
        <v>0</v>
      </c>
      <c r="AA818" s="68"/>
      <c r="AB818" s="68">
        <v>0</v>
      </c>
      <c r="AC818" s="69">
        <f t="shared" si="208"/>
        <v>0</v>
      </c>
      <c r="AD818" s="70">
        <v>0</v>
      </c>
      <c r="AE818" s="63"/>
      <c r="AF818" s="72"/>
      <c r="AG818" s="63"/>
      <c r="AH818" s="23"/>
      <c r="AI818" s="60"/>
      <c r="AJ818" s="124"/>
      <c r="AK818" s="121" t="s">
        <v>2178</v>
      </c>
      <c r="AL818" s="107"/>
      <c r="AM818" s="108"/>
      <c r="AN818" s="109"/>
      <c r="AO818" s="108"/>
      <c r="AP818" s="108"/>
      <c r="AQ818" s="108"/>
      <c r="AR818" s="108"/>
      <c r="AS818" s="108"/>
      <c r="AT818" s="108"/>
      <c r="AU818" s="108"/>
      <c r="AV818" s="108"/>
      <c r="AW818" s="108"/>
      <c r="AX818" s="108"/>
      <c r="AY818" s="108"/>
      <c r="AZ818" s="108"/>
      <c r="BA818" s="108"/>
      <c r="BB818" s="108"/>
      <c r="BC818" s="108"/>
      <c r="BD818" s="108"/>
      <c r="BE818" s="108"/>
      <c r="BF818" s="108"/>
      <c r="BG818" s="108"/>
      <c r="BH818" s="108"/>
      <c r="BI818" s="108"/>
      <c r="BJ818" s="108"/>
      <c r="BK818" s="108"/>
      <c r="BL818" s="108"/>
      <c r="BM818" s="108"/>
      <c r="BN818" s="108"/>
      <c r="BO818" s="108"/>
      <c r="BP818" s="108"/>
      <c r="BQ818" s="108"/>
      <c r="BR818" s="108"/>
      <c r="BS818" s="108"/>
      <c r="BT818" s="108"/>
      <c r="BU818" s="108"/>
      <c r="BV818" s="108"/>
      <c r="BW818" s="108"/>
      <c r="BX818" s="108"/>
      <c r="BY818" s="108"/>
      <c r="BZ818" s="108"/>
      <c r="CA818" s="108"/>
      <c r="CB818" s="108"/>
      <c r="CC818" s="108"/>
      <c r="CD818" s="108"/>
      <c r="CE818" s="108"/>
      <c r="CF818" s="108"/>
      <c r="CG818" s="108"/>
      <c r="CH818" s="108"/>
      <c r="CI818" s="108"/>
      <c r="CJ818" s="108"/>
      <c r="CK818" s="108"/>
      <c r="CL818" s="108"/>
      <c r="CM818" s="108"/>
      <c r="CN818" s="110"/>
      <c r="CO818" s="111"/>
      <c r="CP818" s="110"/>
      <c r="CQ818" s="111"/>
      <c r="CR818" s="110"/>
      <c r="CS818" s="111"/>
      <c r="CT818" s="112">
        <f t="shared" si="209"/>
        <v>0</v>
      </c>
      <c r="CU818" s="113"/>
      <c r="CV818" s="114"/>
      <c r="CW818" s="115"/>
      <c r="CX818" s="116"/>
      <c r="CY818" s="117"/>
      <c r="CZ818" s="116"/>
      <c r="DA818" s="113"/>
      <c r="DB818" s="114"/>
      <c r="DC818" s="64"/>
      <c r="DD818" s="118"/>
    </row>
    <row r="819" spans="1:108" s="119" customFormat="1" ht="24" outlineLevel="2">
      <c r="A819" s="178">
        <v>40515</v>
      </c>
      <c r="B819" s="164" t="s">
        <v>952</v>
      </c>
      <c r="C819" s="164" t="s">
        <v>2181</v>
      </c>
      <c r="D819" s="166" t="s">
        <v>1182</v>
      </c>
      <c r="E819" s="163"/>
      <c r="F819" s="105"/>
      <c r="G819" s="105"/>
      <c r="H819" s="105"/>
      <c r="I819" s="105"/>
      <c r="J819" s="105"/>
      <c r="K819" s="105"/>
      <c r="L819" s="105">
        <v>2</v>
      </c>
      <c r="M819" s="105"/>
      <c r="N819" s="105"/>
      <c r="O819" s="105">
        <v>1</v>
      </c>
      <c r="P819" s="105"/>
      <c r="Q819" s="105"/>
      <c r="R819" s="105"/>
      <c r="S819" s="105"/>
      <c r="T819" s="106"/>
      <c r="U819" s="130" t="s">
        <v>2183</v>
      </c>
      <c r="V819" s="1"/>
      <c r="W819" s="68">
        <f t="shared" si="204"/>
        <v>0</v>
      </c>
      <c r="X819" s="68">
        <f t="shared" si="205"/>
        <v>0</v>
      </c>
      <c r="Y819" s="68">
        <f t="shared" si="206"/>
        <v>0</v>
      </c>
      <c r="Z819" s="68">
        <f t="shared" si="207"/>
        <v>0</v>
      </c>
      <c r="AA819" s="68"/>
      <c r="AB819" s="68">
        <v>0</v>
      </c>
      <c r="AC819" s="69">
        <f t="shared" si="208"/>
        <v>0</v>
      </c>
      <c r="AD819" s="70">
        <v>0</v>
      </c>
      <c r="AE819" s="63"/>
      <c r="AF819" s="72"/>
      <c r="AG819" s="63"/>
      <c r="AH819" s="23"/>
      <c r="AI819" s="60"/>
      <c r="AJ819" s="124"/>
      <c r="AK819" s="121" t="s">
        <v>2182</v>
      </c>
      <c r="AL819" s="107"/>
      <c r="AM819" s="108"/>
      <c r="AN819" s="109"/>
      <c r="AO819" s="108"/>
      <c r="AP819" s="108"/>
      <c r="AQ819" s="108"/>
      <c r="AR819" s="108"/>
      <c r="AS819" s="108"/>
      <c r="AT819" s="108"/>
      <c r="AU819" s="108"/>
      <c r="AV819" s="108"/>
      <c r="AW819" s="108"/>
      <c r="AX819" s="108"/>
      <c r="AY819" s="108"/>
      <c r="AZ819" s="108"/>
      <c r="BA819" s="108"/>
      <c r="BB819" s="108"/>
      <c r="BC819" s="108"/>
      <c r="BD819" s="108"/>
      <c r="BE819" s="108"/>
      <c r="BF819" s="108"/>
      <c r="BG819" s="108"/>
      <c r="BH819" s="108"/>
      <c r="BI819" s="108"/>
      <c r="BJ819" s="108"/>
      <c r="BK819" s="108"/>
      <c r="BL819" s="108"/>
      <c r="BM819" s="108"/>
      <c r="BN819" s="108"/>
      <c r="BO819" s="108"/>
      <c r="BP819" s="108"/>
      <c r="BQ819" s="108"/>
      <c r="BR819" s="108"/>
      <c r="BS819" s="108"/>
      <c r="BT819" s="108"/>
      <c r="BU819" s="108"/>
      <c r="BV819" s="108"/>
      <c r="BW819" s="108"/>
      <c r="BX819" s="108"/>
      <c r="BY819" s="108"/>
      <c r="BZ819" s="108"/>
      <c r="CA819" s="108"/>
      <c r="CB819" s="108"/>
      <c r="CC819" s="108"/>
      <c r="CD819" s="108"/>
      <c r="CE819" s="108"/>
      <c r="CF819" s="108"/>
      <c r="CG819" s="108"/>
      <c r="CH819" s="108"/>
      <c r="CI819" s="108"/>
      <c r="CJ819" s="108"/>
      <c r="CK819" s="108"/>
      <c r="CL819" s="108"/>
      <c r="CM819" s="108"/>
      <c r="CN819" s="110"/>
      <c r="CO819" s="111"/>
      <c r="CP819" s="110"/>
      <c r="CQ819" s="111"/>
      <c r="CR819" s="110"/>
      <c r="CS819" s="111"/>
      <c r="CT819" s="112">
        <f t="shared" si="209"/>
        <v>0</v>
      </c>
      <c r="CU819" s="113"/>
      <c r="CV819" s="114"/>
      <c r="CW819" s="115"/>
      <c r="CX819" s="116"/>
      <c r="CY819" s="117"/>
      <c r="CZ819" s="116"/>
      <c r="DA819" s="113"/>
      <c r="DB819" s="114"/>
      <c r="DC819" s="64"/>
      <c r="DD819" s="118"/>
    </row>
    <row r="820" spans="1:108" s="119" customFormat="1" ht="24" outlineLevel="2">
      <c r="A820" s="178">
        <v>40516</v>
      </c>
      <c r="B820" s="164" t="s">
        <v>952</v>
      </c>
      <c r="C820" s="164" t="s">
        <v>1220</v>
      </c>
      <c r="D820" s="166" t="s">
        <v>1182</v>
      </c>
      <c r="E820" s="163"/>
      <c r="F820" s="105"/>
      <c r="G820" s="105"/>
      <c r="H820" s="105">
        <v>35</v>
      </c>
      <c r="I820" s="105">
        <v>7</v>
      </c>
      <c r="J820" s="105"/>
      <c r="K820" s="105">
        <v>7</v>
      </c>
      <c r="L820" s="105"/>
      <c r="M820" s="105"/>
      <c r="N820" s="105"/>
      <c r="O820" s="105"/>
      <c r="P820" s="105"/>
      <c r="Q820" s="105"/>
      <c r="R820" s="105"/>
      <c r="S820" s="105"/>
      <c r="T820" s="106"/>
      <c r="U820" s="130"/>
      <c r="V820" s="1"/>
      <c r="W820" s="68">
        <f t="shared" si="204"/>
        <v>0</v>
      </c>
      <c r="X820" s="68">
        <f t="shared" si="205"/>
        <v>0</v>
      </c>
      <c r="Y820" s="68">
        <f t="shared" si="206"/>
        <v>0</v>
      </c>
      <c r="Z820" s="68">
        <f t="shared" si="207"/>
        <v>0</v>
      </c>
      <c r="AA820" s="68"/>
      <c r="AB820" s="68">
        <v>0</v>
      </c>
      <c r="AC820" s="69">
        <f t="shared" si="208"/>
        <v>0</v>
      </c>
      <c r="AD820" s="70">
        <v>0</v>
      </c>
      <c r="AE820" s="63"/>
      <c r="AF820" s="72"/>
      <c r="AG820" s="63"/>
      <c r="AH820" s="23"/>
      <c r="AI820" s="60"/>
      <c r="AJ820" s="124"/>
      <c r="AK820" s="121" t="s">
        <v>2204</v>
      </c>
      <c r="AL820" s="107"/>
      <c r="AM820" s="108"/>
      <c r="AN820" s="109"/>
      <c r="AO820" s="108"/>
      <c r="AP820" s="108"/>
      <c r="AQ820" s="108"/>
      <c r="AR820" s="108"/>
      <c r="AS820" s="108"/>
      <c r="AT820" s="108"/>
      <c r="AU820" s="108"/>
      <c r="AV820" s="108"/>
      <c r="AW820" s="108"/>
      <c r="AX820" s="108"/>
      <c r="AY820" s="108"/>
      <c r="AZ820" s="108"/>
      <c r="BA820" s="108"/>
      <c r="BB820" s="108"/>
      <c r="BC820" s="108"/>
      <c r="BD820" s="108"/>
      <c r="BE820" s="108"/>
      <c r="BF820" s="108"/>
      <c r="BG820" s="108"/>
      <c r="BH820" s="108"/>
      <c r="BI820" s="108"/>
      <c r="BJ820" s="108"/>
      <c r="BK820" s="108"/>
      <c r="BL820" s="108"/>
      <c r="BM820" s="108"/>
      <c r="BN820" s="108"/>
      <c r="BO820" s="108"/>
      <c r="BP820" s="108"/>
      <c r="BQ820" s="108"/>
      <c r="BR820" s="108"/>
      <c r="BS820" s="108"/>
      <c r="BT820" s="108"/>
      <c r="BU820" s="108"/>
      <c r="BV820" s="108"/>
      <c r="BW820" s="108"/>
      <c r="BX820" s="108"/>
      <c r="BY820" s="108"/>
      <c r="BZ820" s="108"/>
      <c r="CA820" s="108"/>
      <c r="CB820" s="108"/>
      <c r="CC820" s="108"/>
      <c r="CD820" s="108"/>
      <c r="CE820" s="108"/>
      <c r="CF820" s="108"/>
      <c r="CG820" s="108"/>
      <c r="CH820" s="108"/>
      <c r="CI820" s="108"/>
      <c r="CJ820" s="108"/>
      <c r="CK820" s="108"/>
      <c r="CL820" s="108"/>
      <c r="CM820" s="108"/>
      <c r="CN820" s="110"/>
      <c r="CO820" s="111"/>
      <c r="CP820" s="110"/>
      <c r="CQ820" s="111"/>
      <c r="CR820" s="110"/>
      <c r="CS820" s="111"/>
      <c r="CT820" s="112">
        <f t="shared" si="209"/>
        <v>0</v>
      </c>
      <c r="CU820" s="113"/>
      <c r="CV820" s="114"/>
      <c r="CW820" s="115"/>
      <c r="CX820" s="116"/>
      <c r="CY820" s="117"/>
      <c r="CZ820" s="116"/>
      <c r="DA820" s="113"/>
      <c r="DB820" s="114"/>
      <c r="DC820" s="64"/>
      <c r="DD820" s="118"/>
    </row>
    <row r="821" spans="1:108" s="119" customFormat="1" ht="36" outlineLevel="2">
      <c r="A821" s="178">
        <v>40516</v>
      </c>
      <c r="B821" s="164" t="s">
        <v>952</v>
      </c>
      <c r="C821" s="164" t="s">
        <v>154</v>
      </c>
      <c r="D821" s="166" t="s">
        <v>1182</v>
      </c>
      <c r="E821" s="163"/>
      <c r="F821" s="105"/>
      <c r="G821" s="105"/>
      <c r="H821" s="105">
        <v>25</v>
      </c>
      <c r="I821" s="105">
        <v>5</v>
      </c>
      <c r="J821" s="105"/>
      <c r="K821" s="105">
        <v>5</v>
      </c>
      <c r="L821" s="105"/>
      <c r="M821" s="105"/>
      <c r="N821" s="105"/>
      <c r="O821" s="105"/>
      <c r="P821" s="105"/>
      <c r="Q821" s="105"/>
      <c r="R821" s="105"/>
      <c r="S821" s="105"/>
      <c r="T821" s="106"/>
      <c r="U821" s="130"/>
      <c r="V821" s="1"/>
      <c r="W821" s="68">
        <f t="shared" si="204"/>
        <v>0</v>
      </c>
      <c r="X821" s="68">
        <f t="shared" si="205"/>
        <v>0</v>
      </c>
      <c r="Y821" s="68">
        <f t="shared" si="206"/>
        <v>0</v>
      </c>
      <c r="Z821" s="68">
        <f t="shared" si="207"/>
        <v>0</v>
      </c>
      <c r="AA821" s="68"/>
      <c r="AB821" s="68">
        <v>0</v>
      </c>
      <c r="AC821" s="69">
        <f t="shared" si="208"/>
        <v>0</v>
      </c>
      <c r="AD821" s="70">
        <v>0</v>
      </c>
      <c r="AE821" s="63"/>
      <c r="AF821" s="72"/>
      <c r="AG821" s="63"/>
      <c r="AH821" s="23"/>
      <c r="AI821" s="60"/>
      <c r="AJ821" s="124"/>
      <c r="AK821" s="121" t="s">
        <v>155</v>
      </c>
      <c r="AL821" s="107"/>
      <c r="AM821" s="108"/>
      <c r="AN821" s="109"/>
      <c r="AO821" s="108"/>
      <c r="AP821" s="108"/>
      <c r="AQ821" s="108"/>
      <c r="AR821" s="108"/>
      <c r="AS821" s="108"/>
      <c r="AT821" s="108"/>
      <c r="AU821" s="108"/>
      <c r="AV821" s="108"/>
      <c r="AW821" s="108"/>
      <c r="AX821" s="108"/>
      <c r="AY821" s="108"/>
      <c r="AZ821" s="108"/>
      <c r="BA821" s="108"/>
      <c r="BB821" s="108"/>
      <c r="BC821" s="108"/>
      <c r="BD821" s="108"/>
      <c r="BE821" s="108"/>
      <c r="BF821" s="108"/>
      <c r="BG821" s="108"/>
      <c r="BH821" s="108"/>
      <c r="BI821" s="108"/>
      <c r="BJ821" s="108"/>
      <c r="BK821" s="108"/>
      <c r="BL821" s="108"/>
      <c r="BM821" s="108"/>
      <c r="BN821" s="108"/>
      <c r="BO821" s="108"/>
      <c r="BP821" s="108"/>
      <c r="BQ821" s="108"/>
      <c r="BR821" s="108"/>
      <c r="BS821" s="108"/>
      <c r="BT821" s="108"/>
      <c r="BU821" s="108"/>
      <c r="BV821" s="108"/>
      <c r="BW821" s="108"/>
      <c r="BX821" s="108"/>
      <c r="BY821" s="108"/>
      <c r="BZ821" s="108"/>
      <c r="CA821" s="108"/>
      <c r="CB821" s="108"/>
      <c r="CC821" s="108"/>
      <c r="CD821" s="108"/>
      <c r="CE821" s="108"/>
      <c r="CF821" s="108"/>
      <c r="CG821" s="108"/>
      <c r="CH821" s="108"/>
      <c r="CI821" s="108"/>
      <c r="CJ821" s="108"/>
      <c r="CK821" s="108"/>
      <c r="CL821" s="108"/>
      <c r="CM821" s="108"/>
      <c r="CN821" s="110"/>
      <c r="CO821" s="111"/>
      <c r="CP821" s="110"/>
      <c r="CQ821" s="111"/>
      <c r="CR821" s="110"/>
      <c r="CS821" s="111"/>
      <c r="CT821" s="112">
        <f t="shared" si="209"/>
        <v>0</v>
      </c>
      <c r="CU821" s="113"/>
      <c r="CV821" s="114"/>
      <c r="CW821" s="115"/>
      <c r="CX821" s="116"/>
      <c r="CY821" s="117"/>
      <c r="CZ821" s="116"/>
      <c r="DA821" s="113"/>
      <c r="DB821" s="114"/>
      <c r="DC821" s="64"/>
      <c r="DD821" s="118"/>
    </row>
    <row r="822" spans="1:108" s="119" customFormat="1" ht="36" outlineLevel="2">
      <c r="A822" s="178">
        <v>40516</v>
      </c>
      <c r="B822" s="164" t="s">
        <v>952</v>
      </c>
      <c r="C822" s="164" t="s">
        <v>1950</v>
      </c>
      <c r="D822" s="166" t="s">
        <v>1262</v>
      </c>
      <c r="E822" s="163"/>
      <c r="F822" s="105"/>
      <c r="G822" s="105"/>
      <c r="H822" s="105">
        <v>93</v>
      </c>
      <c r="I822" s="105">
        <v>37</v>
      </c>
      <c r="J822" s="105">
        <v>3</v>
      </c>
      <c r="K822" s="105">
        <v>34</v>
      </c>
      <c r="L822" s="105"/>
      <c r="M822" s="105"/>
      <c r="N822" s="105"/>
      <c r="O822" s="105"/>
      <c r="P822" s="105"/>
      <c r="Q822" s="105"/>
      <c r="R822" s="105"/>
      <c r="S822" s="105"/>
      <c r="T822" s="106"/>
      <c r="U822" s="130"/>
      <c r="V822" s="1"/>
      <c r="W822" s="68">
        <f t="shared" si="204"/>
        <v>0</v>
      </c>
      <c r="X822" s="68">
        <f t="shared" si="205"/>
        <v>0</v>
      </c>
      <c r="Y822" s="68">
        <f t="shared" si="206"/>
        <v>0</v>
      </c>
      <c r="Z822" s="68">
        <f t="shared" si="207"/>
        <v>0</v>
      </c>
      <c r="AA822" s="68"/>
      <c r="AB822" s="68">
        <v>0</v>
      </c>
      <c r="AC822" s="69">
        <f t="shared" si="208"/>
        <v>0</v>
      </c>
      <c r="AD822" s="70">
        <v>0</v>
      </c>
      <c r="AE822" s="63"/>
      <c r="AF822" s="72"/>
      <c r="AG822" s="63"/>
      <c r="AH822" s="23"/>
      <c r="AI822" s="60"/>
      <c r="AJ822" s="124"/>
      <c r="AK822" s="121" t="s">
        <v>156</v>
      </c>
      <c r="AL822" s="107"/>
      <c r="AM822" s="108"/>
      <c r="AN822" s="109"/>
      <c r="AO822" s="108"/>
      <c r="AP822" s="108"/>
      <c r="AQ822" s="108"/>
      <c r="AR822" s="108"/>
      <c r="AS822" s="108"/>
      <c r="AT822" s="108"/>
      <c r="AU822" s="108"/>
      <c r="AV822" s="108"/>
      <c r="AW822" s="108"/>
      <c r="AX822" s="108"/>
      <c r="AY822" s="108"/>
      <c r="AZ822" s="108"/>
      <c r="BA822" s="108"/>
      <c r="BB822" s="108"/>
      <c r="BC822" s="108"/>
      <c r="BD822" s="108"/>
      <c r="BE822" s="108"/>
      <c r="BF822" s="108"/>
      <c r="BG822" s="108"/>
      <c r="BH822" s="108"/>
      <c r="BI822" s="108"/>
      <c r="BJ822" s="108"/>
      <c r="BK822" s="108"/>
      <c r="BL822" s="108"/>
      <c r="BM822" s="108"/>
      <c r="BN822" s="108"/>
      <c r="BO822" s="108"/>
      <c r="BP822" s="108"/>
      <c r="BQ822" s="108"/>
      <c r="BR822" s="108"/>
      <c r="BS822" s="108"/>
      <c r="BT822" s="108"/>
      <c r="BU822" s="108"/>
      <c r="BV822" s="108"/>
      <c r="BW822" s="108"/>
      <c r="BX822" s="108"/>
      <c r="BY822" s="108"/>
      <c r="BZ822" s="108"/>
      <c r="CA822" s="108"/>
      <c r="CB822" s="108"/>
      <c r="CC822" s="108"/>
      <c r="CD822" s="108"/>
      <c r="CE822" s="108"/>
      <c r="CF822" s="108"/>
      <c r="CG822" s="108"/>
      <c r="CH822" s="108"/>
      <c r="CI822" s="108"/>
      <c r="CJ822" s="108"/>
      <c r="CK822" s="108"/>
      <c r="CL822" s="108"/>
      <c r="CM822" s="108"/>
      <c r="CN822" s="110"/>
      <c r="CO822" s="111"/>
      <c r="CP822" s="110"/>
      <c r="CQ822" s="111"/>
      <c r="CR822" s="110"/>
      <c r="CS822" s="111"/>
      <c r="CT822" s="112">
        <f t="shared" si="209"/>
        <v>0</v>
      </c>
      <c r="CU822" s="113"/>
      <c r="CV822" s="114"/>
      <c r="CW822" s="115"/>
      <c r="CX822" s="116"/>
      <c r="CY822" s="117"/>
      <c r="CZ822" s="116"/>
      <c r="DA822" s="113"/>
      <c r="DB822" s="114"/>
      <c r="DC822" s="64"/>
      <c r="DD822" s="118"/>
    </row>
    <row r="823" spans="1:108" s="119" customFormat="1" ht="24" outlineLevel="2">
      <c r="A823" s="178">
        <v>40516</v>
      </c>
      <c r="B823" s="164" t="s">
        <v>952</v>
      </c>
      <c r="C823" s="164" t="s">
        <v>157</v>
      </c>
      <c r="D823" s="166" t="s">
        <v>1182</v>
      </c>
      <c r="E823" s="163"/>
      <c r="F823" s="105"/>
      <c r="G823" s="105"/>
      <c r="H823" s="105">
        <v>15</v>
      </c>
      <c r="I823" s="105">
        <v>3</v>
      </c>
      <c r="J823" s="105">
        <v>2</v>
      </c>
      <c r="K823" s="105">
        <v>1</v>
      </c>
      <c r="L823" s="105"/>
      <c r="M823" s="105"/>
      <c r="N823" s="105"/>
      <c r="O823" s="105"/>
      <c r="P823" s="105"/>
      <c r="Q823" s="105"/>
      <c r="R823" s="105"/>
      <c r="S823" s="105"/>
      <c r="T823" s="106"/>
      <c r="U823" s="130"/>
      <c r="V823" s="1"/>
      <c r="W823" s="68">
        <f t="shared" si="204"/>
        <v>0</v>
      </c>
      <c r="X823" s="68">
        <f t="shared" si="205"/>
        <v>0</v>
      </c>
      <c r="Y823" s="68">
        <f t="shared" si="206"/>
        <v>0</v>
      </c>
      <c r="Z823" s="68">
        <f t="shared" si="207"/>
        <v>0</v>
      </c>
      <c r="AA823" s="68"/>
      <c r="AB823" s="68">
        <v>0</v>
      </c>
      <c r="AC823" s="69">
        <f t="shared" si="208"/>
        <v>0</v>
      </c>
      <c r="AD823" s="70">
        <v>0</v>
      </c>
      <c r="AE823" s="63"/>
      <c r="AF823" s="72"/>
      <c r="AG823" s="63"/>
      <c r="AH823" s="23"/>
      <c r="AI823" s="60"/>
      <c r="AJ823" s="124"/>
      <c r="AK823" s="121" t="s">
        <v>158</v>
      </c>
      <c r="AL823" s="107"/>
      <c r="AM823" s="108"/>
      <c r="AN823" s="109"/>
      <c r="AO823" s="108"/>
      <c r="AP823" s="108"/>
      <c r="AQ823" s="108"/>
      <c r="AR823" s="108"/>
      <c r="AS823" s="108"/>
      <c r="AT823" s="108"/>
      <c r="AU823" s="108"/>
      <c r="AV823" s="108"/>
      <c r="AW823" s="108"/>
      <c r="AX823" s="108"/>
      <c r="AY823" s="108"/>
      <c r="AZ823" s="108"/>
      <c r="BA823" s="108"/>
      <c r="BB823" s="108"/>
      <c r="BC823" s="108"/>
      <c r="BD823" s="108"/>
      <c r="BE823" s="108"/>
      <c r="BF823" s="108"/>
      <c r="BG823" s="108"/>
      <c r="BH823" s="108"/>
      <c r="BI823" s="108"/>
      <c r="BJ823" s="108"/>
      <c r="BK823" s="108"/>
      <c r="BL823" s="108"/>
      <c r="BM823" s="108"/>
      <c r="BN823" s="108"/>
      <c r="BO823" s="108"/>
      <c r="BP823" s="108"/>
      <c r="BQ823" s="108"/>
      <c r="BR823" s="108"/>
      <c r="BS823" s="108"/>
      <c r="BT823" s="108"/>
      <c r="BU823" s="108"/>
      <c r="BV823" s="108"/>
      <c r="BW823" s="108"/>
      <c r="BX823" s="108"/>
      <c r="BY823" s="108"/>
      <c r="BZ823" s="108"/>
      <c r="CA823" s="108"/>
      <c r="CB823" s="108"/>
      <c r="CC823" s="108"/>
      <c r="CD823" s="108"/>
      <c r="CE823" s="108"/>
      <c r="CF823" s="108"/>
      <c r="CG823" s="108"/>
      <c r="CH823" s="108"/>
      <c r="CI823" s="108"/>
      <c r="CJ823" s="108"/>
      <c r="CK823" s="108"/>
      <c r="CL823" s="108"/>
      <c r="CM823" s="108"/>
      <c r="CN823" s="110"/>
      <c r="CO823" s="111"/>
      <c r="CP823" s="110"/>
      <c r="CQ823" s="111"/>
      <c r="CR823" s="110"/>
      <c r="CS823" s="111"/>
      <c r="CT823" s="112">
        <f t="shared" si="209"/>
        <v>0</v>
      </c>
      <c r="CU823" s="113"/>
      <c r="CV823" s="114"/>
      <c r="CW823" s="115"/>
      <c r="CX823" s="116"/>
      <c r="CY823" s="117"/>
      <c r="CZ823" s="116"/>
      <c r="DA823" s="113"/>
      <c r="DB823" s="114"/>
      <c r="DC823" s="64"/>
      <c r="DD823" s="118"/>
    </row>
    <row r="824" spans="1:108" s="119" customFormat="1" ht="24" outlineLevel="2">
      <c r="A824" s="178">
        <v>40517</v>
      </c>
      <c r="B824" s="164" t="s">
        <v>952</v>
      </c>
      <c r="C824" s="164" t="s">
        <v>1659</v>
      </c>
      <c r="D824" s="166" t="s">
        <v>1262</v>
      </c>
      <c r="E824" s="163"/>
      <c r="F824" s="105"/>
      <c r="G824" s="105"/>
      <c r="H824" s="105">
        <v>750</v>
      </c>
      <c r="I824" s="105">
        <v>150</v>
      </c>
      <c r="J824" s="105"/>
      <c r="K824" s="105">
        <v>150</v>
      </c>
      <c r="L824" s="105"/>
      <c r="M824" s="105"/>
      <c r="N824" s="105"/>
      <c r="O824" s="105"/>
      <c r="P824" s="105"/>
      <c r="Q824" s="105"/>
      <c r="R824" s="105"/>
      <c r="S824" s="105"/>
      <c r="T824" s="106"/>
      <c r="U824" s="130"/>
      <c r="V824" s="1"/>
      <c r="W824" s="68">
        <f t="shared" si="204"/>
        <v>0</v>
      </c>
      <c r="X824" s="68">
        <f t="shared" si="205"/>
        <v>0</v>
      </c>
      <c r="Y824" s="68">
        <f t="shared" si="206"/>
        <v>0</v>
      </c>
      <c r="Z824" s="68">
        <f t="shared" si="207"/>
        <v>0</v>
      </c>
      <c r="AA824" s="68"/>
      <c r="AB824" s="68">
        <v>0</v>
      </c>
      <c r="AC824" s="69">
        <f t="shared" si="208"/>
        <v>0</v>
      </c>
      <c r="AD824" s="70">
        <v>0</v>
      </c>
      <c r="AE824" s="63"/>
      <c r="AF824" s="72"/>
      <c r="AG824" s="63"/>
      <c r="AH824" s="23"/>
      <c r="AI824" s="60"/>
      <c r="AJ824" s="124"/>
      <c r="AK824" s="121" t="s">
        <v>113</v>
      </c>
      <c r="AL824" s="107"/>
      <c r="AM824" s="108"/>
      <c r="AN824" s="109"/>
      <c r="AO824" s="108"/>
      <c r="AP824" s="108"/>
      <c r="AQ824" s="108"/>
      <c r="AR824" s="108"/>
      <c r="AS824" s="108"/>
      <c r="AT824" s="108"/>
      <c r="AU824" s="108"/>
      <c r="AV824" s="108"/>
      <c r="AW824" s="108"/>
      <c r="AX824" s="108"/>
      <c r="AY824" s="108"/>
      <c r="AZ824" s="108"/>
      <c r="BA824" s="108"/>
      <c r="BB824" s="108"/>
      <c r="BC824" s="108"/>
      <c r="BD824" s="108"/>
      <c r="BE824" s="108"/>
      <c r="BF824" s="108"/>
      <c r="BG824" s="108"/>
      <c r="BH824" s="108"/>
      <c r="BI824" s="108"/>
      <c r="BJ824" s="108"/>
      <c r="BK824" s="108"/>
      <c r="BL824" s="108"/>
      <c r="BM824" s="108"/>
      <c r="BN824" s="108"/>
      <c r="BO824" s="108"/>
      <c r="BP824" s="108"/>
      <c r="BQ824" s="108"/>
      <c r="BR824" s="108"/>
      <c r="BS824" s="108"/>
      <c r="BT824" s="108"/>
      <c r="BU824" s="108"/>
      <c r="BV824" s="108"/>
      <c r="BW824" s="108"/>
      <c r="BX824" s="108"/>
      <c r="BY824" s="108"/>
      <c r="BZ824" s="108"/>
      <c r="CA824" s="108"/>
      <c r="CB824" s="108"/>
      <c r="CC824" s="108"/>
      <c r="CD824" s="108"/>
      <c r="CE824" s="108"/>
      <c r="CF824" s="108"/>
      <c r="CG824" s="108"/>
      <c r="CH824" s="108"/>
      <c r="CI824" s="108"/>
      <c r="CJ824" s="108"/>
      <c r="CK824" s="108"/>
      <c r="CL824" s="108"/>
      <c r="CM824" s="108"/>
      <c r="CN824" s="110"/>
      <c r="CO824" s="111"/>
      <c r="CP824" s="110"/>
      <c r="CQ824" s="111"/>
      <c r="CR824" s="110"/>
      <c r="CS824" s="111"/>
      <c r="CT824" s="112">
        <f t="shared" si="209"/>
        <v>0</v>
      </c>
      <c r="CU824" s="113"/>
      <c r="CV824" s="114"/>
      <c r="CW824" s="115"/>
      <c r="CX824" s="116"/>
      <c r="CY824" s="117"/>
      <c r="CZ824" s="116"/>
      <c r="DA824" s="113"/>
      <c r="DB824" s="114"/>
      <c r="DC824" s="64"/>
      <c r="DD824" s="118"/>
    </row>
    <row r="825" spans="1:108" s="119" customFormat="1" outlineLevel="2">
      <c r="A825" s="178">
        <v>40522</v>
      </c>
      <c r="B825" s="164" t="s">
        <v>952</v>
      </c>
      <c r="C825" s="164" t="s">
        <v>860</v>
      </c>
      <c r="D825" s="166" t="s">
        <v>1182</v>
      </c>
      <c r="E825" s="163"/>
      <c r="F825" s="105"/>
      <c r="G825" s="105"/>
      <c r="H825" s="105">
        <v>1250</v>
      </c>
      <c r="I825" s="105">
        <v>250</v>
      </c>
      <c r="J825" s="105"/>
      <c r="K825" s="105">
        <v>250</v>
      </c>
      <c r="L825" s="105"/>
      <c r="M825" s="105"/>
      <c r="N825" s="105"/>
      <c r="O825" s="105"/>
      <c r="P825" s="105"/>
      <c r="Q825" s="105"/>
      <c r="R825" s="105"/>
      <c r="S825" s="105"/>
      <c r="T825" s="106"/>
      <c r="U825" s="130"/>
      <c r="V825" s="1"/>
      <c r="W825" s="68">
        <f t="shared" si="204"/>
        <v>0</v>
      </c>
      <c r="X825" s="68">
        <f t="shared" si="205"/>
        <v>0</v>
      </c>
      <c r="Y825" s="68">
        <f t="shared" si="206"/>
        <v>0</v>
      </c>
      <c r="Z825" s="68">
        <f t="shared" si="207"/>
        <v>0</v>
      </c>
      <c r="AA825" s="68"/>
      <c r="AB825" s="68">
        <v>0</v>
      </c>
      <c r="AC825" s="69">
        <f t="shared" si="208"/>
        <v>0</v>
      </c>
      <c r="AD825" s="70">
        <v>0</v>
      </c>
      <c r="AE825" s="63"/>
      <c r="AF825" s="72"/>
      <c r="AG825" s="63"/>
      <c r="AH825" s="23"/>
      <c r="AI825" s="60"/>
      <c r="AJ825" s="124"/>
      <c r="AK825" s="121" t="s">
        <v>2393</v>
      </c>
      <c r="AL825" s="107"/>
      <c r="AM825" s="108"/>
      <c r="AN825" s="109"/>
      <c r="AO825" s="108"/>
      <c r="AP825" s="108"/>
      <c r="AQ825" s="108"/>
      <c r="AR825" s="108"/>
      <c r="AS825" s="108"/>
      <c r="AT825" s="108"/>
      <c r="AU825" s="108"/>
      <c r="AV825" s="108"/>
      <c r="AW825" s="108"/>
      <c r="AX825" s="108"/>
      <c r="AY825" s="108"/>
      <c r="AZ825" s="108"/>
      <c r="BA825" s="108"/>
      <c r="BB825" s="108"/>
      <c r="BC825" s="108"/>
      <c r="BD825" s="108"/>
      <c r="BE825" s="108"/>
      <c r="BF825" s="108"/>
      <c r="BG825" s="108"/>
      <c r="BH825" s="108"/>
      <c r="BI825" s="108"/>
      <c r="BJ825" s="108"/>
      <c r="BK825" s="108"/>
      <c r="BL825" s="108"/>
      <c r="BM825" s="108"/>
      <c r="BN825" s="108"/>
      <c r="BO825" s="108"/>
      <c r="BP825" s="108"/>
      <c r="BQ825" s="108"/>
      <c r="BR825" s="108"/>
      <c r="BS825" s="108"/>
      <c r="BT825" s="108"/>
      <c r="BU825" s="108"/>
      <c r="BV825" s="108"/>
      <c r="BW825" s="108"/>
      <c r="BX825" s="108"/>
      <c r="BY825" s="108"/>
      <c r="BZ825" s="108"/>
      <c r="CA825" s="108"/>
      <c r="CB825" s="108"/>
      <c r="CC825" s="108"/>
      <c r="CD825" s="108"/>
      <c r="CE825" s="108"/>
      <c r="CF825" s="108"/>
      <c r="CG825" s="108"/>
      <c r="CH825" s="108"/>
      <c r="CI825" s="108"/>
      <c r="CJ825" s="108"/>
      <c r="CK825" s="108"/>
      <c r="CL825" s="108"/>
      <c r="CM825" s="108"/>
      <c r="CN825" s="110"/>
      <c r="CO825" s="111"/>
      <c r="CP825" s="110"/>
      <c r="CQ825" s="111"/>
      <c r="CR825" s="110"/>
      <c r="CS825" s="111"/>
      <c r="CT825" s="112">
        <f t="shared" si="209"/>
        <v>0</v>
      </c>
      <c r="CU825" s="113"/>
      <c r="CV825" s="114"/>
      <c r="CW825" s="115"/>
      <c r="CX825" s="116"/>
      <c r="CY825" s="117"/>
      <c r="CZ825" s="116"/>
      <c r="DA825" s="113"/>
      <c r="DB825" s="114"/>
      <c r="DC825" s="64"/>
      <c r="DD825" s="118"/>
    </row>
    <row r="826" spans="1:108" s="119" customFormat="1" ht="26.25" customHeight="1" outlineLevel="1">
      <c r="A826" s="178"/>
      <c r="B826" s="192" t="s">
        <v>2451</v>
      </c>
      <c r="C826" s="164"/>
      <c r="D826" s="166"/>
      <c r="E826" s="163">
        <f t="shared" ref="E826:T826" si="210">SUBTOTAL(9,E719:E825)</f>
        <v>8</v>
      </c>
      <c r="F826" s="105">
        <f t="shared" si="210"/>
        <v>12</v>
      </c>
      <c r="G826" s="105">
        <f t="shared" si="210"/>
        <v>1</v>
      </c>
      <c r="H826" s="105">
        <f t="shared" si="210"/>
        <v>17789</v>
      </c>
      <c r="I826" s="105">
        <f t="shared" si="210"/>
        <v>4091</v>
      </c>
      <c r="J826" s="105">
        <f t="shared" si="210"/>
        <v>51</v>
      </c>
      <c r="K826" s="105">
        <f t="shared" si="210"/>
        <v>3926</v>
      </c>
      <c r="L826" s="105">
        <f t="shared" si="210"/>
        <v>31</v>
      </c>
      <c r="M826" s="105">
        <f t="shared" si="210"/>
        <v>3</v>
      </c>
      <c r="N826" s="105">
        <f t="shared" si="210"/>
        <v>1</v>
      </c>
      <c r="O826" s="105">
        <f t="shared" si="210"/>
        <v>2</v>
      </c>
      <c r="P826" s="105">
        <f t="shared" si="210"/>
        <v>1</v>
      </c>
      <c r="Q826" s="105">
        <f t="shared" si="210"/>
        <v>2</v>
      </c>
      <c r="R826" s="105">
        <f t="shared" si="210"/>
        <v>11</v>
      </c>
      <c r="S826" s="105">
        <f t="shared" si="210"/>
        <v>0</v>
      </c>
      <c r="T826" s="106">
        <f t="shared" si="210"/>
        <v>1200</v>
      </c>
      <c r="U826" s="130"/>
      <c r="V826" s="1"/>
      <c r="W826" s="68">
        <f t="shared" ref="W826:AD826" si="211">SUBTOTAL(9,W719:W825)</f>
        <v>95525000</v>
      </c>
      <c r="X826" s="68">
        <f t="shared" si="211"/>
        <v>0</v>
      </c>
      <c r="Y826" s="68">
        <f t="shared" si="211"/>
        <v>0</v>
      </c>
      <c r="Z826" s="68">
        <f t="shared" si="211"/>
        <v>0</v>
      </c>
      <c r="AA826" s="68">
        <f t="shared" si="211"/>
        <v>0</v>
      </c>
      <c r="AB826" s="68">
        <f t="shared" si="211"/>
        <v>222814963</v>
      </c>
      <c r="AC826" s="69">
        <f t="shared" si="211"/>
        <v>318339963</v>
      </c>
      <c r="AD826" s="70">
        <f t="shared" si="211"/>
        <v>0</v>
      </c>
      <c r="AE826" s="63"/>
      <c r="AF826" s="72"/>
      <c r="AG826" s="63"/>
      <c r="AH826" s="23"/>
      <c r="AI826" s="60"/>
      <c r="AJ826" s="124"/>
      <c r="AK826" s="121"/>
      <c r="AL826" s="107"/>
      <c r="AM826" s="108"/>
      <c r="AN826" s="109"/>
      <c r="AO826" s="108"/>
      <c r="AP826" s="108"/>
      <c r="AQ826" s="108"/>
      <c r="AR826" s="108"/>
      <c r="AS826" s="108"/>
      <c r="AT826" s="108"/>
      <c r="AU826" s="108"/>
      <c r="AV826" s="108"/>
      <c r="AW826" s="108"/>
      <c r="AX826" s="108"/>
      <c r="AY826" s="108"/>
      <c r="AZ826" s="108"/>
      <c r="BA826" s="108"/>
      <c r="BB826" s="108"/>
      <c r="BC826" s="108"/>
      <c r="BD826" s="108"/>
      <c r="BE826" s="108"/>
      <c r="BF826" s="108"/>
      <c r="BG826" s="108"/>
      <c r="BH826" s="108"/>
      <c r="BI826" s="108"/>
      <c r="BJ826" s="108"/>
      <c r="BK826" s="108"/>
      <c r="BL826" s="108"/>
      <c r="BM826" s="108"/>
      <c r="BN826" s="108"/>
      <c r="BO826" s="108"/>
      <c r="BP826" s="108"/>
      <c r="BQ826" s="108"/>
      <c r="BR826" s="108"/>
      <c r="BS826" s="108"/>
      <c r="BT826" s="108"/>
      <c r="BU826" s="108"/>
      <c r="BV826" s="108"/>
      <c r="BW826" s="108"/>
      <c r="BX826" s="108"/>
      <c r="BY826" s="108"/>
      <c r="BZ826" s="108"/>
      <c r="CA826" s="108"/>
      <c r="CB826" s="108"/>
      <c r="CC826" s="108"/>
      <c r="CD826" s="108"/>
      <c r="CE826" s="108"/>
      <c r="CF826" s="108"/>
      <c r="CG826" s="108"/>
      <c r="CH826" s="108"/>
      <c r="CI826" s="108"/>
      <c r="CJ826" s="108"/>
      <c r="CK826" s="108"/>
      <c r="CL826" s="108"/>
      <c r="CM826" s="108"/>
      <c r="CN826" s="110"/>
      <c r="CO826" s="111"/>
      <c r="CP826" s="110"/>
      <c r="CQ826" s="111"/>
      <c r="CR826" s="110"/>
      <c r="CS826" s="111"/>
      <c r="CT826" s="112"/>
      <c r="CU826" s="113"/>
      <c r="CV826" s="114"/>
      <c r="CW826" s="115"/>
      <c r="CX826" s="116"/>
      <c r="CY826" s="117"/>
      <c r="CZ826" s="116"/>
      <c r="DA826" s="113"/>
      <c r="DB826" s="114"/>
      <c r="DC826" s="64"/>
      <c r="DD826" s="118"/>
    </row>
    <row r="827" spans="1:108" s="119" customFormat="1" outlineLevel="2">
      <c r="A827" s="178">
        <v>40324</v>
      </c>
      <c r="B827" s="82" t="s">
        <v>578</v>
      </c>
      <c r="C827" s="82" t="s">
        <v>1872</v>
      </c>
      <c r="D827" s="165" t="s">
        <v>1262</v>
      </c>
      <c r="E827" s="167"/>
      <c r="F827" s="66"/>
      <c r="G827" s="66"/>
      <c r="H827" s="66">
        <v>130</v>
      </c>
      <c r="I827" s="66">
        <v>26</v>
      </c>
      <c r="J827" s="66"/>
      <c r="K827" s="66"/>
      <c r="L827" s="66"/>
      <c r="M827" s="66"/>
      <c r="N827" s="66"/>
      <c r="O827" s="66"/>
      <c r="P827" s="66"/>
      <c r="Q827" s="66"/>
      <c r="R827" s="66"/>
      <c r="S827" s="66"/>
      <c r="T827" s="67"/>
      <c r="U827" s="151"/>
      <c r="V827" s="1"/>
      <c r="W827" s="68">
        <f t="shared" ref="W827:W860" si="212">CT827</f>
        <v>0</v>
      </c>
      <c r="X827" s="68">
        <f t="shared" ref="X827:X860" si="213">CX827</f>
        <v>0</v>
      </c>
      <c r="Y827" s="68">
        <f t="shared" ref="Y827:Y860" si="214">CZ827+DB827</f>
        <v>0</v>
      </c>
      <c r="Z827" s="68">
        <f t="shared" ref="Z827:Z860" si="215">CV827</f>
        <v>0</v>
      </c>
      <c r="AA827" s="68"/>
      <c r="AB827" s="68">
        <v>0</v>
      </c>
      <c r="AC827" s="69">
        <f t="shared" ref="AC827:AC860" si="216">W827+X827+Y827+Z827+AA827+AB827</f>
        <v>0</v>
      </c>
      <c r="AD827" s="70">
        <v>0</v>
      </c>
      <c r="AE827" s="63">
        <v>40330</v>
      </c>
      <c r="AF827" s="72"/>
      <c r="AG827" s="63" t="s">
        <v>938</v>
      </c>
      <c r="AH827" s="23" t="s">
        <v>939</v>
      </c>
      <c r="AI827" s="60"/>
      <c r="AJ827" s="133" t="s">
        <v>1608</v>
      </c>
      <c r="AK827" s="73" t="s">
        <v>1151</v>
      </c>
      <c r="AL827" s="3"/>
      <c r="AM827" s="4"/>
      <c r="AN827" s="5"/>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6"/>
      <c r="CO827" s="7"/>
      <c r="CP827" s="6"/>
      <c r="CQ827" s="7"/>
      <c r="CR827" s="6"/>
      <c r="CS827" s="7"/>
      <c r="CT827" s="8">
        <f t="shared" ref="CT827:CT860" si="217">AM827+AO827+AQ827+AS827+AU827+AW827+AY827+BA827+BC827+BE827+BG827+BI827+BK827+BM827+BO827+BQ827+BS827+BU827+BW827+BY827+CA827+CC827+CE827+CG827+CI827+CK827+CM827+CO827+CQ827+CS827</f>
        <v>0</v>
      </c>
      <c r="CU827" s="9"/>
      <c r="CV827" s="10"/>
      <c r="CW827" s="11"/>
      <c r="CX827" s="12"/>
      <c r="CY827" s="26"/>
      <c r="CZ827" s="12"/>
      <c r="DA827" s="9"/>
      <c r="DB827" s="10"/>
      <c r="DC827" s="64"/>
      <c r="DD827" s="22"/>
    </row>
    <row r="828" spans="1:108" s="119" customFormat="1" ht="24" outlineLevel="2">
      <c r="A828" s="178">
        <v>40327</v>
      </c>
      <c r="B828" s="82" t="s">
        <v>578</v>
      </c>
      <c r="C828" s="82" t="s">
        <v>1664</v>
      </c>
      <c r="D828" s="165" t="s">
        <v>1262</v>
      </c>
      <c r="E828" s="167">
        <v>3</v>
      </c>
      <c r="F828" s="66"/>
      <c r="G828" s="66">
        <v>2</v>
      </c>
      <c r="H828" s="66"/>
      <c r="I828" s="66"/>
      <c r="J828" s="66"/>
      <c r="K828" s="66"/>
      <c r="L828" s="66"/>
      <c r="M828" s="66"/>
      <c r="N828" s="66"/>
      <c r="O828" s="66"/>
      <c r="P828" s="66"/>
      <c r="Q828" s="66"/>
      <c r="R828" s="66"/>
      <c r="S828" s="66"/>
      <c r="T828" s="67"/>
      <c r="U828" s="151"/>
      <c r="V828" s="1"/>
      <c r="W828" s="68">
        <f t="shared" si="212"/>
        <v>0</v>
      </c>
      <c r="X828" s="68">
        <f t="shared" si="213"/>
        <v>0</v>
      </c>
      <c r="Y828" s="68">
        <f t="shared" si="214"/>
        <v>0</v>
      </c>
      <c r="Z828" s="68">
        <f t="shared" si="215"/>
        <v>0</v>
      </c>
      <c r="AA828" s="68"/>
      <c r="AB828" s="68">
        <v>0</v>
      </c>
      <c r="AC828" s="69">
        <f t="shared" si="216"/>
        <v>0</v>
      </c>
      <c r="AD828" s="70">
        <v>0</v>
      </c>
      <c r="AE828" s="63">
        <v>40329</v>
      </c>
      <c r="AF828" s="72"/>
      <c r="AG828" s="63" t="s">
        <v>938</v>
      </c>
      <c r="AH828" s="23" t="s">
        <v>939</v>
      </c>
      <c r="AI828" s="60"/>
      <c r="AJ828" s="133" t="s">
        <v>1608</v>
      </c>
      <c r="AK828" s="73" t="s">
        <v>1576</v>
      </c>
      <c r="AL828" s="3"/>
      <c r="AM828" s="4"/>
      <c r="AN828" s="5"/>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6"/>
      <c r="CO828" s="7"/>
      <c r="CP828" s="6"/>
      <c r="CQ828" s="7"/>
      <c r="CR828" s="6"/>
      <c r="CS828" s="7"/>
      <c r="CT828" s="8">
        <f t="shared" si="217"/>
        <v>0</v>
      </c>
      <c r="CU828" s="9"/>
      <c r="CV828" s="10"/>
      <c r="CW828" s="11"/>
      <c r="CX828" s="12"/>
      <c r="CY828" s="26"/>
      <c r="CZ828" s="12"/>
      <c r="DA828" s="9"/>
      <c r="DB828" s="10"/>
      <c r="DC828" s="64"/>
      <c r="DD828" s="22"/>
    </row>
    <row r="829" spans="1:108" s="119" customFormat="1" ht="36" outlineLevel="2">
      <c r="A829" s="178">
        <v>40330</v>
      </c>
      <c r="B829" s="82" t="s">
        <v>578</v>
      </c>
      <c r="C829" s="82" t="s">
        <v>2217</v>
      </c>
      <c r="D829" s="165" t="s">
        <v>1262</v>
      </c>
      <c r="E829" s="167"/>
      <c r="F829" s="66"/>
      <c r="G829" s="66"/>
      <c r="H829" s="66">
        <v>532</v>
      </c>
      <c r="I829" s="66">
        <v>95</v>
      </c>
      <c r="J829" s="66"/>
      <c r="K829" s="66">
        <v>10</v>
      </c>
      <c r="L829" s="66"/>
      <c r="M829" s="66"/>
      <c r="N829" s="66"/>
      <c r="O829" s="66"/>
      <c r="P829" s="66"/>
      <c r="Q829" s="66"/>
      <c r="R829" s="66"/>
      <c r="S829" s="66"/>
      <c r="T829" s="67"/>
      <c r="U829" s="151"/>
      <c r="V829" s="1"/>
      <c r="W829" s="68">
        <f t="shared" si="212"/>
        <v>0</v>
      </c>
      <c r="X829" s="68">
        <f t="shared" si="213"/>
        <v>0</v>
      </c>
      <c r="Y829" s="68">
        <f t="shared" si="214"/>
        <v>0</v>
      </c>
      <c r="Z829" s="68">
        <f t="shared" si="215"/>
        <v>0</v>
      </c>
      <c r="AA829" s="68"/>
      <c r="AB829" s="68">
        <v>0</v>
      </c>
      <c r="AC829" s="69">
        <f t="shared" si="216"/>
        <v>0</v>
      </c>
      <c r="AD829" s="70">
        <v>0</v>
      </c>
      <c r="AE829" s="63">
        <v>40330</v>
      </c>
      <c r="AF829" s="72"/>
      <c r="AG829" s="63" t="s">
        <v>954</v>
      </c>
      <c r="AH829" s="23" t="s">
        <v>955</v>
      </c>
      <c r="AI829" s="60"/>
      <c r="AJ829" s="157" t="s">
        <v>1551</v>
      </c>
      <c r="AK829" s="73" t="s">
        <v>1998</v>
      </c>
      <c r="AL829" s="3"/>
      <c r="AM829" s="4"/>
      <c r="AN829" s="5"/>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6"/>
      <c r="CO829" s="7"/>
      <c r="CP829" s="6"/>
      <c r="CQ829" s="7"/>
      <c r="CR829" s="6"/>
      <c r="CS829" s="7"/>
      <c r="CT829" s="8">
        <f t="shared" si="217"/>
        <v>0</v>
      </c>
      <c r="CU829" s="9"/>
      <c r="CV829" s="10"/>
      <c r="CW829" s="11"/>
      <c r="CX829" s="12"/>
      <c r="CY829" s="26"/>
      <c r="CZ829" s="12"/>
      <c r="DA829" s="9"/>
      <c r="DB829" s="10"/>
      <c r="DC829" s="64"/>
      <c r="DD829" s="22"/>
    </row>
    <row r="830" spans="1:108" s="119" customFormat="1" ht="24" outlineLevel="2">
      <c r="A830" s="178">
        <v>40330</v>
      </c>
      <c r="B830" s="82" t="s">
        <v>578</v>
      </c>
      <c r="C830" s="82" t="s">
        <v>1664</v>
      </c>
      <c r="D830" s="165" t="s">
        <v>1262</v>
      </c>
      <c r="E830" s="167"/>
      <c r="F830" s="66"/>
      <c r="G830" s="66"/>
      <c r="H830" s="66"/>
      <c r="I830" s="66"/>
      <c r="J830" s="66"/>
      <c r="K830" s="66"/>
      <c r="L830" s="66"/>
      <c r="M830" s="66"/>
      <c r="N830" s="66"/>
      <c r="O830" s="66"/>
      <c r="P830" s="66"/>
      <c r="Q830" s="66"/>
      <c r="R830" s="66"/>
      <c r="S830" s="66"/>
      <c r="T830" s="67"/>
      <c r="U830" s="151"/>
      <c r="V830" s="1"/>
      <c r="W830" s="68">
        <f t="shared" si="212"/>
        <v>0</v>
      </c>
      <c r="X830" s="68">
        <f t="shared" si="213"/>
        <v>0</v>
      </c>
      <c r="Y830" s="68">
        <f t="shared" si="214"/>
        <v>0</v>
      </c>
      <c r="Z830" s="68">
        <f t="shared" si="215"/>
        <v>0</v>
      </c>
      <c r="AA830" s="68"/>
      <c r="AB830" s="68">
        <v>0</v>
      </c>
      <c r="AC830" s="69">
        <f t="shared" si="216"/>
        <v>0</v>
      </c>
      <c r="AD830" s="70">
        <v>0</v>
      </c>
      <c r="AE830" s="63">
        <v>40330</v>
      </c>
      <c r="AF830" s="72"/>
      <c r="AG830" s="63" t="s">
        <v>954</v>
      </c>
      <c r="AH830" s="23" t="s">
        <v>955</v>
      </c>
      <c r="AI830" s="60"/>
      <c r="AJ830" s="157" t="s">
        <v>1551</v>
      </c>
      <c r="AK830" s="73" t="s">
        <v>1150</v>
      </c>
      <c r="AL830" s="3"/>
      <c r="AM830" s="4"/>
      <c r="AN830" s="5"/>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6"/>
      <c r="CO830" s="7"/>
      <c r="CP830" s="6"/>
      <c r="CQ830" s="7"/>
      <c r="CR830" s="6"/>
      <c r="CS830" s="7"/>
      <c r="CT830" s="8">
        <f t="shared" si="217"/>
        <v>0</v>
      </c>
      <c r="CU830" s="9"/>
      <c r="CV830" s="10"/>
      <c r="CW830" s="11"/>
      <c r="CX830" s="12"/>
      <c r="CY830" s="26"/>
      <c r="CZ830" s="12"/>
      <c r="DA830" s="9"/>
      <c r="DB830" s="10"/>
      <c r="DC830" s="64"/>
      <c r="DD830" s="22"/>
    </row>
    <row r="831" spans="1:108" s="119" customFormat="1" ht="24" outlineLevel="2">
      <c r="A831" s="178">
        <v>40349</v>
      </c>
      <c r="B831" s="82" t="s">
        <v>578</v>
      </c>
      <c r="C831" s="82" t="s">
        <v>2241</v>
      </c>
      <c r="D831" s="165" t="s">
        <v>944</v>
      </c>
      <c r="E831" s="167">
        <v>2</v>
      </c>
      <c r="F831" s="66">
        <v>1</v>
      </c>
      <c r="G831" s="66"/>
      <c r="H831" s="66">
        <v>75</v>
      </c>
      <c r="I831" s="66">
        <v>15</v>
      </c>
      <c r="J831" s="66"/>
      <c r="K831" s="66"/>
      <c r="L831" s="66"/>
      <c r="M831" s="66"/>
      <c r="N831" s="66"/>
      <c r="O831" s="66"/>
      <c r="P831" s="66"/>
      <c r="Q831" s="66"/>
      <c r="R831" s="66"/>
      <c r="S831" s="66"/>
      <c r="T831" s="67"/>
      <c r="U831" s="151"/>
      <c r="V831" s="1"/>
      <c r="W831" s="68">
        <f t="shared" si="212"/>
        <v>0</v>
      </c>
      <c r="X831" s="68">
        <f t="shared" si="213"/>
        <v>0</v>
      </c>
      <c r="Y831" s="68">
        <f t="shared" si="214"/>
        <v>0</v>
      </c>
      <c r="Z831" s="68">
        <f t="shared" si="215"/>
        <v>0</v>
      </c>
      <c r="AA831" s="68"/>
      <c r="AB831" s="68">
        <v>0</v>
      </c>
      <c r="AC831" s="69">
        <f t="shared" si="216"/>
        <v>0</v>
      </c>
      <c r="AD831" s="70">
        <v>0</v>
      </c>
      <c r="AE831" s="63">
        <v>40350</v>
      </c>
      <c r="AF831" s="72"/>
      <c r="AG831" s="63" t="s">
        <v>938</v>
      </c>
      <c r="AH831" s="23" t="s">
        <v>939</v>
      </c>
      <c r="AI831" s="60"/>
      <c r="AJ831" s="133" t="s">
        <v>1608</v>
      </c>
      <c r="AK831" s="73" t="s">
        <v>1439</v>
      </c>
      <c r="AL831" s="3"/>
      <c r="AM831" s="4"/>
      <c r="AN831" s="5"/>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6"/>
      <c r="CO831" s="7"/>
      <c r="CP831" s="6"/>
      <c r="CQ831" s="7"/>
      <c r="CR831" s="6"/>
      <c r="CS831" s="7"/>
      <c r="CT831" s="8">
        <f t="shared" si="217"/>
        <v>0</v>
      </c>
      <c r="CU831" s="9"/>
      <c r="CV831" s="10"/>
      <c r="CW831" s="11"/>
      <c r="CX831" s="12"/>
      <c r="CY831" s="26"/>
      <c r="CZ831" s="12"/>
      <c r="DA831" s="9"/>
      <c r="DB831" s="10"/>
      <c r="DC831" s="64"/>
      <c r="DD831" s="22">
        <v>1122</v>
      </c>
    </row>
    <row r="832" spans="1:108" s="119" customFormat="1" ht="60" outlineLevel="2">
      <c r="A832" s="178">
        <v>40360</v>
      </c>
      <c r="B832" s="82" t="s">
        <v>578</v>
      </c>
      <c r="C832" s="82" t="s">
        <v>1872</v>
      </c>
      <c r="D832" s="165" t="s">
        <v>1262</v>
      </c>
      <c r="E832" s="167"/>
      <c r="F832" s="66"/>
      <c r="G832" s="66"/>
      <c r="H832" s="66">
        <v>50</v>
      </c>
      <c r="I832" s="66">
        <v>10</v>
      </c>
      <c r="J832" s="66"/>
      <c r="K832" s="66"/>
      <c r="L832" s="66"/>
      <c r="M832" s="66"/>
      <c r="N832" s="66"/>
      <c r="O832" s="66"/>
      <c r="P832" s="66"/>
      <c r="Q832" s="66"/>
      <c r="R832" s="66"/>
      <c r="S832" s="66"/>
      <c r="T832" s="67"/>
      <c r="U832" s="151"/>
      <c r="V832" s="1"/>
      <c r="W832" s="68">
        <f t="shared" si="212"/>
        <v>0</v>
      </c>
      <c r="X832" s="68">
        <f t="shared" si="213"/>
        <v>0</v>
      </c>
      <c r="Y832" s="68">
        <f t="shared" si="214"/>
        <v>0</v>
      </c>
      <c r="Z832" s="68">
        <f t="shared" si="215"/>
        <v>0</v>
      </c>
      <c r="AA832" s="68"/>
      <c r="AB832" s="68">
        <v>0</v>
      </c>
      <c r="AC832" s="69">
        <f t="shared" si="216"/>
        <v>0</v>
      </c>
      <c r="AD832" s="70">
        <v>0</v>
      </c>
      <c r="AE832" s="63">
        <v>40360</v>
      </c>
      <c r="AF832" s="72"/>
      <c r="AG832" s="63" t="s">
        <v>938</v>
      </c>
      <c r="AH832" s="23" t="s">
        <v>939</v>
      </c>
      <c r="AI832" s="60"/>
      <c r="AJ832" s="133" t="s">
        <v>1608</v>
      </c>
      <c r="AK832" s="73" t="s">
        <v>1977</v>
      </c>
      <c r="AL832" s="3"/>
      <c r="AM832" s="4"/>
      <c r="AN832" s="5"/>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6"/>
      <c r="CO832" s="7"/>
      <c r="CP832" s="6"/>
      <c r="CQ832" s="7"/>
      <c r="CR832" s="6"/>
      <c r="CS832" s="7"/>
      <c r="CT832" s="8">
        <f t="shared" si="217"/>
        <v>0</v>
      </c>
      <c r="CU832" s="9"/>
      <c r="CV832" s="10"/>
      <c r="CW832" s="11"/>
      <c r="CX832" s="12"/>
      <c r="CY832" s="26"/>
      <c r="CZ832" s="12"/>
      <c r="DA832" s="9"/>
      <c r="DB832" s="10"/>
      <c r="DC832" s="64"/>
      <c r="DD832" s="22"/>
    </row>
    <row r="833" spans="1:108" s="119" customFormat="1" ht="24" outlineLevel="2">
      <c r="A833" s="178">
        <v>40360</v>
      </c>
      <c r="B833" s="82" t="s">
        <v>578</v>
      </c>
      <c r="C833" s="82" t="s">
        <v>1999</v>
      </c>
      <c r="D833" s="165" t="s">
        <v>1262</v>
      </c>
      <c r="E833" s="167"/>
      <c r="F833" s="66"/>
      <c r="G833" s="66"/>
      <c r="H833" s="66">
        <v>2473</v>
      </c>
      <c r="I833" s="66">
        <v>425</v>
      </c>
      <c r="J833" s="66"/>
      <c r="K833" s="66"/>
      <c r="L833" s="66"/>
      <c r="M833" s="66"/>
      <c r="N833" s="66"/>
      <c r="O833" s="66"/>
      <c r="P833" s="66"/>
      <c r="Q833" s="66"/>
      <c r="R833" s="66"/>
      <c r="S833" s="66"/>
      <c r="T833" s="67"/>
      <c r="U833" s="151"/>
      <c r="V833" s="1"/>
      <c r="W833" s="68">
        <f t="shared" si="212"/>
        <v>0</v>
      </c>
      <c r="X833" s="68">
        <f t="shared" si="213"/>
        <v>0</v>
      </c>
      <c r="Y833" s="68">
        <f t="shared" si="214"/>
        <v>0</v>
      </c>
      <c r="Z833" s="68">
        <f t="shared" si="215"/>
        <v>0</v>
      </c>
      <c r="AA833" s="68"/>
      <c r="AB833" s="68">
        <v>0</v>
      </c>
      <c r="AC833" s="69">
        <f t="shared" si="216"/>
        <v>0</v>
      </c>
      <c r="AD833" s="70">
        <v>0</v>
      </c>
      <c r="AE833" s="63">
        <v>40392</v>
      </c>
      <c r="AF833" s="72"/>
      <c r="AG833" s="63" t="s">
        <v>954</v>
      </c>
      <c r="AH833" s="23" t="s">
        <v>955</v>
      </c>
      <c r="AI833" s="60"/>
      <c r="AJ833" s="157" t="s">
        <v>1551</v>
      </c>
      <c r="AK833" s="73" t="s">
        <v>2000</v>
      </c>
      <c r="AL833" s="3"/>
      <c r="AM833" s="4"/>
      <c r="AN833" s="5"/>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6"/>
      <c r="CO833" s="7"/>
      <c r="CP833" s="6"/>
      <c r="CQ833" s="7"/>
      <c r="CR833" s="6"/>
      <c r="CS833" s="7"/>
      <c r="CT833" s="8">
        <f t="shared" si="217"/>
        <v>0</v>
      </c>
      <c r="CU833" s="9"/>
      <c r="CV833" s="10"/>
      <c r="CW833" s="11"/>
      <c r="CX833" s="12"/>
      <c r="CY833" s="26"/>
      <c r="CZ833" s="12"/>
      <c r="DA833" s="9"/>
      <c r="DB833" s="10"/>
      <c r="DC833" s="64"/>
      <c r="DD833" s="22"/>
    </row>
    <row r="834" spans="1:108" s="119" customFormat="1" ht="36" outlineLevel="2">
      <c r="A834" s="178">
        <v>40361</v>
      </c>
      <c r="B834" s="82" t="s">
        <v>578</v>
      </c>
      <c r="C834" s="82" t="s">
        <v>274</v>
      </c>
      <c r="D834" s="165" t="s">
        <v>1262</v>
      </c>
      <c r="E834" s="167"/>
      <c r="F834" s="66"/>
      <c r="G834" s="66"/>
      <c r="H834" s="66"/>
      <c r="I834" s="66"/>
      <c r="J834" s="66"/>
      <c r="K834" s="66"/>
      <c r="L834" s="66"/>
      <c r="M834" s="66"/>
      <c r="N834" s="66"/>
      <c r="O834" s="66"/>
      <c r="P834" s="66"/>
      <c r="Q834" s="66"/>
      <c r="R834" s="66"/>
      <c r="S834" s="66"/>
      <c r="T834" s="67"/>
      <c r="U834" s="151"/>
      <c r="V834" s="1"/>
      <c r="W834" s="68">
        <f t="shared" si="212"/>
        <v>0</v>
      </c>
      <c r="X834" s="68">
        <f t="shared" si="213"/>
        <v>0</v>
      </c>
      <c r="Y834" s="68">
        <f t="shared" si="214"/>
        <v>0</v>
      </c>
      <c r="Z834" s="68">
        <f t="shared" si="215"/>
        <v>0</v>
      </c>
      <c r="AA834" s="68"/>
      <c r="AB834" s="68">
        <v>0</v>
      </c>
      <c r="AC834" s="69">
        <f t="shared" si="216"/>
        <v>0</v>
      </c>
      <c r="AD834" s="70">
        <v>0</v>
      </c>
      <c r="AE834" s="63">
        <v>40367</v>
      </c>
      <c r="AF834" s="72"/>
      <c r="AG834" s="63" t="s">
        <v>954</v>
      </c>
      <c r="AH834" s="23" t="s">
        <v>955</v>
      </c>
      <c r="AI834" s="60"/>
      <c r="AJ834" s="157" t="s">
        <v>1551</v>
      </c>
      <c r="AK834" s="73" t="s">
        <v>1988</v>
      </c>
      <c r="AL834" s="3"/>
      <c r="AM834" s="4"/>
      <c r="AN834" s="5"/>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6"/>
      <c r="CO834" s="7"/>
      <c r="CP834" s="6"/>
      <c r="CQ834" s="7"/>
      <c r="CR834" s="6"/>
      <c r="CS834" s="7"/>
      <c r="CT834" s="8">
        <f t="shared" si="217"/>
        <v>0</v>
      </c>
      <c r="CU834" s="9"/>
      <c r="CV834" s="10"/>
      <c r="CW834" s="11"/>
      <c r="CX834" s="12"/>
      <c r="CY834" s="26"/>
      <c r="CZ834" s="12"/>
      <c r="DA834" s="9"/>
      <c r="DB834" s="10"/>
      <c r="DC834" s="64"/>
      <c r="DD834" s="22"/>
    </row>
    <row r="835" spans="1:108" s="119" customFormat="1" ht="48" outlineLevel="2">
      <c r="A835" s="178">
        <v>40367</v>
      </c>
      <c r="B835" s="82" t="s">
        <v>578</v>
      </c>
      <c r="C835" s="82" t="s">
        <v>1872</v>
      </c>
      <c r="D835" s="165" t="s">
        <v>1262</v>
      </c>
      <c r="E835" s="167"/>
      <c r="F835" s="66"/>
      <c r="G835" s="66"/>
      <c r="H835" s="66">
        <v>709</v>
      </c>
      <c r="I835" s="87">
        <v>132</v>
      </c>
      <c r="J835" s="66"/>
      <c r="K835" s="66"/>
      <c r="L835" s="66"/>
      <c r="M835" s="66"/>
      <c r="N835" s="66"/>
      <c r="O835" s="66"/>
      <c r="P835" s="66"/>
      <c r="Q835" s="66"/>
      <c r="R835" s="66"/>
      <c r="S835" s="66"/>
      <c r="T835" s="67"/>
      <c r="U835" s="151"/>
      <c r="V835" s="1"/>
      <c r="W835" s="68">
        <f t="shared" si="212"/>
        <v>0</v>
      </c>
      <c r="X835" s="68">
        <f t="shared" si="213"/>
        <v>0</v>
      </c>
      <c r="Y835" s="68">
        <f t="shared" si="214"/>
        <v>0</v>
      </c>
      <c r="Z835" s="68">
        <f t="shared" si="215"/>
        <v>0</v>
      </c>
      <c r="AA835" s="68"/>
      <c r="AB835" s="68">
        <v>0</v>
      </c>
      <c r="AC835" s="69">
        <f t="shared" si="216"/>
        <v>0</v>
      </c>
      <c r="AD835" s="70">
        <v>0</v>
      </c>
      <c r="AE835" s="63">
        <v>40371</v>
      </c>
      <c r="AF835" s="72"/>
      <c r="AG835" s="63" t="s">
        <v>954</v>
      </c>
      <c r="AH835" s="23" t="s">
        <v>955</v>
      </c>
      <c r="AI835" s="60"/>
      <c r="AJ835" s="157" t="s">
        <v>1551</v>
      </c>
      <c r="AK835" s="73" t="s">
        <v>1986</v>
      </c>
      <c r="AL835" s="3"/>
      <c r="AM835" s="4"/>
      <c r="AN835" s="5"/>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6"/>
      <c r="CO835" s="7"/>
      <c r="CP835" s="6"/>
      <c r="CQ835" s="7"/>
      <c r="CR835" s="6"/>
      <c r="CS835" s="7"/>
      <c r="CT835" s="8">
        <f t="shared" si="217"/>
        <v>0</v>
      </c>
      <c r="CU835" s="9"/>
      <c r="CV835" s="10"/>
      <c r="CW835" s="11"/>
      <c r="CX835" s="12"/>
      <c r="CY835" s="26"/>
      <c r="CZ835" s="12"/>
      <c r="DA835" s="9"/>
      <c r="DB835" s="10"/>
      <c r="DC835" s="64"/>
      <c r="DD835" s="22"/>
    </row>
    <row r="836" spans="1:108" s="119" customFormat="1" outlineLevel="2">
      <c r="A836" s="178">
        <v>40367</v>
      </c>
      <c r="B836" s="82" t="s">
        <v>578</v>
      </c>
      <c r="C836" s="82" t="s">
        <v>1872</v>
      </c>
      <c r="D836" s="165" t="s">
        <v>1262</v>
      </c>
      <c r="E836" s="167"/>
      <c r="F836" s="66"/>
      <c r="G836" s="66"/>
      <c r="H836" s="66"/>
      <c r="I836" s="87"/>
      <c r="J836" s="66"/>
      <c r="K836" s="66"/>
      <c r="L836" s="66">
        <v>1</v>
      </c>
      <c r="M836" s="66"/>
      <c r="N836" s="66"/>
      <c r="O836" s="66"/>
      <c r="P836" s="66"/>
      <c r="Q836" s="66"/>
      <c r="R836" s="66"/>
      <c r="S836" s="66"/>
      <c r="T836" s="67"/>
      <c r="U836" s="151"/>
      <c r="V836" s="1"/>
      <c r="W836" s="68">
        <f t="shared" si="212"/>
        <v>0</v>
      </c>
      <c r="X836" s="68">
        <f t="shared" si="213"/>
        <v>0</v>
      </c>
      <c r="Y836" s="68">
        <f t="shared" si="214"/>
        <v>0</v>
      </c>
      <c r="Z836" s="68">
        <f t="shared" si="215"/>
        <v>0</v>
      </c>
      <c r="AA836" s="68"/>
      <c r="AB836" s="68">
        <v>0</v>
      </c>
      <c r="AC836" s="69">
        <f t="shared" si="216"/>
        <v>0</v>
      </c>
      <c r="AD836" s="70">
        <v>0</v>
      </c>
      <c r="AE836" s="63">
        <v>40371</v>
      </c>
      <c r="AF836" s="72"/>
      <c r="AG836" s="63" t="s">
        <v>938</v>
      </c>
      <c r="AH836" s="23" t="s">
        <v>939</v>
      </c>
      <c r="AI836" s="60"/>
      <c r="AJ836" s="133" t="s">
        <v>1608</v>
      </c>
      <c r="AK836" s="73" t="s">
        <v>1461</v>
      </c>
      <c r="AL836" s="3"/>
      <c r="AM836" s="4"/>
      <c r="AN836" s="5"/>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6"/>
      <c r="CO836" s="7"/>
      <c r="CP836" s="6"/>
      <c r="CQ836" s="7"/>
      <c r="CR836" s="6"/>
      <c r="CS836" s="7"/>
      <c r="CT836" s="8">
        <f t="shared" si="217"/>
        <v>0</v>
      </c>
      <c r="CU836" s="9"/>
      <c r="CV836" s="10"/>
      <c r="CW836" s="11"/>
      <c r="CX836" s="12"/>
      <c r="CY836" s="26"/>
      <c r="CZ836" s="12"/>
      <c r="DA836" s="9"/>
      <c r="DB836" s="10"/>
      <c r="DC836" s="64"/>
      <c r="DD836" s="22"/>
    </row>
    <row r="837" spans="1:108" s="119" customFormat="1" ht="36" outlineLevel="2">
      <c r="A837" s="178">
        <v>40367</v>
      </c>
      <c r="B837" s="82" t="s">
        <v>578</v>
      </c>
      <c r="C837" s="82" t="s">
        <v>1872</v>
      </c>
      <c r="D837" s="165" t="s">
        <v>1262</v>
      </c>
      <c r="E837" s="167"/>
      <c r="F837" s="66"/>
      <c r="G837" s="66"/>
      <c r="H837" s="66">
        <v>2006</v>
      </c>
      <c r="I837" s="87">
        <v>395</v>
      </c>
      <c r="J837" s="66"/>
      <c r="K837" s="66"/>
      <c r="L837" s="66"/>
      <c r="M837" s="66"/>
      <c r="N837" s="66"/>
      <c r="O837" s="66"/>
      <c r="P837" s="66"/>
      <c r="Q837" s="66"/>
      <c r="R837" s="66"/>
      <c r="S837" s="66"/>
      <c r="T837" s="67"/>
      <c r="U837" s="151"/>
      <c r="V837" s="1"/>
      <c r="W837" s="68">
        <f t="shared" si="212"/>
        <v>0</v>
      </c>
      <c r="X837" s="68">
        <f t="shared" si="213"/>
        <v>0</v>
      </c>
      <c r="Y837" s="68">
        <f t="shared" si="214"/>
        <v>0</v>
      </c>
      <c r="Z837" s="68">
        <f t="shared" si="215"/>
        <v>0</v>
      </c>
      <c r="AA837" s="68"/>
      <c r="AB837" s="68">
        <v>0</v>
      </c>
      <c r="AC837" s="69">
        <f t="shared" si="216"/>
        <v>0</v>
      </c>
      <c r="AD837" s="70">
        <v>0</v>
      </c>
      <c r="AE837" s="63">
        <v>40371</v>
      </c>
      <c r="AF837" s="72"/>
      <c r="AG837" s="63" t="s">
        <v>954</v>
      </c>
      <c r="AH837" s="23" t="s">
        <v>955</v>
      </c>
      <c r="AI837" s="60"/>
      <c r="AJ837" s="157" t="s">
        <v>1551</v>
      </c>
      <c r="AK837" s="73" t="s">
        <v>1462</v>
      </c>
      <c r="AL837" s="3"/>
      <c r="AM837" s="4"/>
      <c r="AN837" s="5"/>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6"/>
      <c r="CO837" s="7"/>
      <c r="CP837" s="6"/>
      <c r="CQ837" s="7"/>
      <c r="CR837" s="6"/>
      <c r="CS837" s="7"/>
      <c r="CT837" s="8">
        <f t="shared" si="217"/>
        <v>0</v>
      </c>
      <c r="CU837" s="9"/>
      <c r="CV837" s="10"/>
      <c r="CW837" s="11"/>
      <c r="CX837" s="12"/>
      <c r="CY837" s="26"/>
      <c r="CZ837" s="12"/>
      <c r="DA837" s="9"/>
      <c r="DB837" s="10"/>
      <c r="DC837" s="64"/>
      <c r="DD837" s="22"/>
    </row>
    <row r="838" spans="1:108" s="119" customFormat="1" ht="48" outlineLevel="2">
      <c r="A838" s="178">
        <v>40376</v>
      </c>
      <c r="B838" s="82" t="s">
        <v>578</v>
      </c>
      <c r="C838" s="82" t="s">
        <v>1872</v>
      </c>
      <c r="D838" s="165" t="s">
        <v>1262</v>
      </c>
      <c r="E838" s="167"/>
      <c r="F838" s="66"/>
      <c r="G838" s="66"/>
      <c r="H838" s="66">
        <v>1127</v>
      </c>
      <c r="I838" s="87">
        <v>209</v>
      </c>
      <c r="J838" s="66"/>
      <c r="K838" s="66"/>
      <c r="L838" s="66"/>
      <c r="M838" s="66"/>
      <c r="N838" s="66"/>
      <c r="O838" s="66"/>
      <c r="P838" s="66"/>
      <c r="Q838" s="66"/>
      <c r="R838" s="66"/>
      <c r="S838" s="66"/>
      <c r="T838" s="67"/>
      <c r="U838" s="151"/>
      <c r="V838" s="1"/>
      <c r="W838" s="68">
        <f t="shared" si="212"/>
        <v>0</v>
      </c>
      <c r="X838" s="68">
        <f t="shared" si="213"/>
        <v>0</v>
      </c>
      <c r="Y838" s="68">
        <f t="shared" si="214"/>
        <v>0</v>
      </c>
      <c r="Z838" s="68">
        <f t="shared" si="215"/>
        <v>0</v>
      </c>
      <c r="AA838" s="68"/>
      <c r="AB838" s="68">
        <v>0</v>
      </c>
      <c r="AC838" s="69">
        <f t="shared" si="216"/>
        <v>0</v>
      </c>
      <c r="AD838" s="70">
        <v>0</v>
      </c>
      <c r="AE838" s="63">
        <v>40377</v>
      </c>
      <c r="AF838" s="72"/>
      <c r="AG838" s="63" t="s">
        <v>954</v>
      </c>
      <c r="AH838" s="23" t="s">
        <v>955</v>
      </c>
      <c r="AI838" s="60"/>
      <c r="AJ838" s="158" t="s">
        <v>1551</v>
      </c>
      <c r="AK838" s="73" t="s">
        <v>2368</v>
      </c>
      <c r="AL838" s="3"/>
      <c r="AM838" s="4"/>
      <c r="AN838" s="5"/>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6"/>
      <c r="CO838" s="7"/>
      <c r="CP838" s="6"/>
      <c r="CQ838" s="7"/>
      <c r="CR838" s="6"/>
      <c r="CS838" s="7"/>
      <c r="CT838" s="8">
        <f t="shared" si="217"/>
        <v>0</v>
      </c>
      <c r="CU838" s="9"/>
      <c r="CV838" s="10"/>
      <c r="CW838" s="11"/>
      <c r="CX838" s="12"/>
      <c r="CY838" s="26"/>
      <c r="CZ838" s="12"/>
      <c r="DA838" s="9"/>
      <c r="DB838" s="10"/>
      <c r="DC838" s="64"/>
      <c r="DD838" s="22"/>
    </row>
    <row r="839" spans="1:108" s="119" customFormat="1" ht="36" outlineLevel="2">
      <c r="A839" s="178">
        <v>40376</v>
      </c>
      <c r="B839" s="82" t="s">
        <v>578</v>
      </c>
      <c r="C839" s="82" t="s">
        <v>1872</v>
      </c>
      <c r="D839" s="165" t="s">
        <v>1262</v>
      </c>
      <c r="E839" s="167"/>
      <c r="F839" s="66"/>
      <c r="G839" s="66"/>
      <c r="H839" s="66">
        <v>398</v>
      </c>
      <c r="I839" s="87">
        <v>65</v>
      </c>
      <c r="J839" s="66"/>
      <c r="K839" s="66"/>
      <c r="L839" s="66"/>
      <c r="M839" s="66"/>
      <c r="N839" s="66"/>
      <c r="O839" s="66"/>
      <c r="P839" s="66"/>
      <c r="Q839" s="66"/>
      <c r="R839" s="66"/>
      <c r="S839" s="66"/>
      <c r="T839" s="67"/>
      <c r="U839" s="151"/>
      <c r="V839" s="1"/>
      <c r="W839" s="68">
        <f t="shared" si="212"/>
        <v>0</v>
      </c>
      <c r="X839" s="68">
        <f t="shared" si="213"/>
        <v>0</v>
      </c>
      <c r="Y839" s="68">
        <f t="shared" si="214"/>
        <v>0</v>
      </c>
      <c r="Z839" s="68">
        <f t="shared" si="215"/>
        <v>0</v>
      </c>
      <c r="AA839" s="68"/>
      <c r="AB839" s="68">
        <v>0</v>
      </c>
      <c r="AC839" s="69">
        <f t="shared" si="216"/>
        <v>0</v>
      </c>
      <c r="AD839" s="70">
        <v>0</v>
      </c>
      <c r="AE839" s="63">
        <v>40377</v>
      </c>
      <c r="AF839" s="72"/>
      <c r="AG839" s="63" t="s">
        <v>954</v>
      </c>
      <c r="AH839" s="23" t="s">
        <v>955</v>
      </c>
      <c r="AI839" s="60"/>
      <c r="AJ839" s="158" t="s">
        <v>1551</v>
      </c>
      <c r="AK839" s="73" t="s">
        <v>2369</v>
      </c>
      <c r="AL839" s="3"/>
      <c r="AM839" s="4"/>
      <c r="AN839" s="5"/>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6"/>
      <c r="CO839" s="7"/>
      <c r="CP839" s="6"/>
      <c r="CQ839" s="7"/>
      <c r="CR839" s="6"/>
      <c r="CS839" s="7"/>
      <c r="CT839" s="8">
        <f t="shared" si="217"/>
        <v>0</v>
      </c>
      <c r="CU839" s="9"/>
      <c r="CV839" s="10"/>
      <c r="CW839" s="11"/>
      <c r="CX839" s="12"/>
      <c r="CY839" s="26"/>
      <c r="CZ839" s="12"/>
      <c r="DA839" s="9"/>
      <c r="DB839" s="10"/>
      <c r="DC839" s="64"/>
      <c r="DD839" s="22"/>
    </row>
    <row r="840" spans="1:108" s="119" customFormat="1" ht="84" outlineLevel="2">
      <c r="A840" s="178">
        <v>40380</v>
      </c>
      <c r="B840" s="82" t="s">
        <v>578</v>
      </c>
      <c r="C840" s="82" t="s">
        <v>912</v>
      </c>
      <c r="D840" s="165" t="s">
        <v>1262</v>
      </c>
      <c r="E840" s="167"/>
      <c r="F840" s="66"/>
      <c r="G840" s="66"/>
      <c r="H840" s="66">
        <v>726</v>
      </c>
      <c r="I840" s="66">
        <v>132</v>
      </c>
      <c r="J840" s="66">
        <v>1</v>
      </c>
      <c r="K840" s="66">
        <v>131</v>
      </c>
      <c r="L840" s="66"/>
      <c r="M840" s="66"/>
      <c r="N840" s="66"/>
      <c r="O840" s="66"/>
      <c r="P840" s="66"/>
      <c r="Q840" s="66"/>
      <c r="R840" s="66"/>
      <c r="S840" s="66"/>
      <c r="T840" s="67"/>
      <c r="U840" s="151"/>
      <c r="V840" s="1"/>
      <c r="W840" s="68">
        <f t="shared" si="212"/>
        <v>0</v>
      </c>
      <c r="X840" s="68">
        <f t="shared" si="213"/>
        <v>0</v>
      </c>
      <c r="Y840" s="68">
        <f t="shared" si="214"/>
        <v>0</v>
      </c>
      <c r="Z840" s="68">
        <f t="shared" si="215"/>
        <v>0</v>
      </c>
      <c r="AA840" s="68"/>
      <c r="AB840" s="68">
        <v>0</v>
      </c>
      <c r="AC840" s="69">
        <f t="shared" si="216"/>
        <v>0</v>
      </c>
      <c r="AD840" s="70">
        <v>0</v>
      </c>
      <c r="AE840" s="63">
        <v>40381</v>
      </c>
      <c r="AF840" s="72"/>
      <c r="AG840" s="63" t="s">
        <v>954</v>
      </c>
      <c r="AH840" s="23" t="s">
        <v>955</v>
      </c>
      <c r="AI840" s="60"/>
      <c r="AJ840" s="158" t="s">
        <v>1551</v>
      </c>
      <c r="AK840" s="73" t="s">
        <v>1987</v>
      </c>
      <c r="AL840" s="3"/>
      <c r="AM840" s="4"/>
      <c r="AN840" s="5"/>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6"/>
      <c r="CO840" s="7"/>
      <c r="CP840" s="6"/>
      <c r="CQ840" s="7"/>
      <c r="CR840" s="6"/>
      <c r="CS840" s="7"/>
      <c r="CT840" s="8">
        <f t="shared" si="217"/>
        <v>0</v>
      </c>
      <c r="CU840" s="9"/>
      <c r="CV840" s="10"/>
      <c r="CW840" s="11"/>
      <c r="CX840" s="12"/>
      <c r="CY840" s="26"/>
      <c r="CZ840" s="12"/>
      <c r="DA840" s="9"/>
      <c r="DB840" s="10"/>
      <c r="DC840" s="64"/>
      <c r="DD840" s="22"/>
    </row>
    <row r="841" spans="1:108" s="119" customFormat="1" ht="56.25" outlineLevel="2">
      <c r="A841" s="178">
        <v>40392</v>
      </c>
      <c r="B841" s="82" t="s">
        <v>578</v>
      </c>
      <c r="C841" s="82" t="s">
        <v>2039</v>
      </c>
      <c r="D841" s="165" t="s">
        <v>1262</v>
      </c>
      <c r="E841" s="167"/>
      <c r="F841" s="66"/>
      <c r="G841" s="66"/>
      <c r="H841" s="66"/>
      <c r="I841" s="66"/>
      <c r="J841" s="66"/>
      <c r="K841" s="66"/>
      <c r="L841" s="66"/>
      <c r="M841" s="66"/>
      <c r="N841" s="66"/>
      <c r="O841" s="66"/>
      <c r="P841" s="66"/>
      <c r="Q841" s="66"/>
      <c r="R841" s="66"/>
      <c r="S841" s="66"/>
      <c r="T841" s="67"/>
      <c r="U841" s="151"/>
      <c r="V841" s="1">
        <v>40417</v>
      </c>
      <c r="W841" s="68">
        <f t="shared" si="212"/>
        <v>120860250</v>
      </c>
      <c r="X841" s="68">
        <f t="shared" si="213"/>
        <v>165750000</v>
      </c>
      <c r="Y841" s="68">
        <f t="shared" si="214"/>
        <v>0</v>
      </c>
      <c r="Z841" s="68">
        <f t="shared" si="215"/>
        <v>0</v>
      </c>
      <c r="AA841" s="68"/>
      <c r="AB841" s="68">
        <v>0</v>
      </c>
      <c r="AC841" s="69">
        <f t="shared" si="216"/>
        <v>286610250</v>
      </c>
      <c r="AD841" s="70">
        <v>0</v>
      </c>
      <c r="AE841" s="63">
        <v>40392</v>
      </c>
      <c r="AF841" s="79" t="s">
        <v>2263</v>
      </c>
      <c r="AG841" s="63" t="s">
        <v>954</v>
      </c>
      <c r="AH841" s="23" t="s">
        <v>955</v>
      </c>
      <c r="AI841" s="75" t="s">
        <v>2262</v>
      </c>
      <c r="AJ841" s="133" t="s">
        <v>2040</v>
      </c>
      <c r="AK841" s="73" t="s">
        <v>2041</v>
      </c>
      <c r="AL841" s="3"/>
      <c r="AM841" s="4"/>
      <c r="AN841" s="5"/>
      <c r="AO841" s="4"/>
      <c r="AP841" s="4"/>
      <c r="AQ841" s="4"/>
      <c r="AR841" s="4"/>
      <c r="AS841" s="4"/>
      <c r="AT841" s="4"/>
      <c r="AU841" s="4"/>
      <c r="AV841" s="4"/>
      <c r="AW841" s="4"/>
      <c r="AX841" s="4"/>
      <c r="AY841" s="4"/>
      <c r="AZ841" s="4"/>
      <c r="BA841" s="4"/>
      <c r="BB841" s="4"/>
      <c r="BC841" s="4"/>
      <c r="BD841" s="4"/>
      <c r="BE841" s="4"/>
      <c r="BF841" s="4"/>
      <c r="BG841" s="4"/>
      <c r="BH841" s="4"/>
      <c r="BI841" s="4"/>
      <c r="BJ841" s="4">
        <v>1000</v>
      </c>
      <c r="BK841" s="4">
        <f>1000*27500</f>
        <v>27500000</v>
      </c>
      <c r="BL841" s="4"/>
      <c r="BM841" s="4"/>
      <c r="BN841" s="4"/>
      <c r="BO841" s="4"/>
      <c r="BP841" s="4"/>
      <c r="BQ841" s="4"/>
      <c r="BR841" s="4"/>
      <c r="BS841" s="4"/>
      <c r="BT841" s="4"/>
      <c r="BU841" s="4"/>
      <c r="BV841" s="4"/>
      <c r="BW841" s="4"/>
      <c r="BX841" s="4"/>
      <c r="BY841" s="4"/>
      <c r="BZ841" s="4"/>
      <c r="CA841" s="4"/>
      <c r="CB841" s="4"/>
      <c r="CC841" s="4"/>
      <c r="CD841" s="4"/>
      <c r="CE841" s="4"/>
      <c r="CF841" s="4"/>
      <c r="CG841" s="4"/>
      <c r="CH841" s="4">
        <v>1000</v>
      </c>
      <c r="CI841" s="4">
        <f>1000*22000</f>
        <v>22000000</v>
      </c>
      <c r="CJ841" s="4"/>
      <c r="CK841" s="4"/>
      <c r="CL841" s="4"/>
      <c r="CM841" s="4"/>
      <c r="CN841" s="6">
        <v>1950</v>
      </c>
      <c r="CO841" s="7">
        <f>1950*36595</f>
        <v>71360250</v>
      </c>
      <c r="CP841" s="6"/>
      <c r="CQ841" s="7"/>
      <c r="CR841" s="6"/>
      <c r="CS841" s="7"/>
      <c r="CT841" s="8">
        <f t="shared" si="217"/>
        <v>120860250</v>
      </c>
      <c r="CU841" s="9"/>
      <c r="CV841" s="10"/>
      <c r="CW841" s="11">
        <v>1950</v>
      </c>
      <c r="CX841" s="12">
        <f>1950*85000</f>
        <v>165750000</v>
      </c>
      <c r="CY841" s="26"/>
      <c r="CZ841" s="12"/>
      <c r="DA841" s="9"/>
      <c r="DB841" s="10"/>
      <c r="DC841" s="64"/>
      <c r="DD841" s="22"/>
    </row>
    <row r="842" spans="1:108" s="119" customFormat="1" ht="48" outlineLevel="2">
      <c r="A842" s="178">
        <v>40402</v>
      </c>
      <c r="B842" s="82" t="s">
        <v>578</v>
      </c>
      <c r="C842" s="82" t="s">
        <v>2241</v>
      </c>
      <c r="D842" s="165" t="s">
        <v>1262</v>
      </c>
      <c r="E842" s="167"/>
      <c r="F842" s="66"/>
      <c r="G842" s="66"/>
      <c r="H842" s="66">
        <v>849</v>
      </c>
      <c r="I842" s="66">
        <v>178</v>
      </c>
      <c r="J842" s="66"/>
      <c r="K842" s="66">
        <v>178</v>
      </c>
      <c r="L842" s="66"/>
      <c r="M842" s="66"/>
      <c r="N842" s="66"/>
      <c r="O842" s="66"/>
      <c r="P842" s="66"/>
      <c r="Q842" s="66"/>
      <c r="R842" s="66"/>
      <c r="S842" s="66"/>
      <c r="T842" s="67">
        <v>350</v>
      </c>
      <c r="U842" s="151"/>
      <c r="V842" s="1">
        <v>40466</v>
      </c>
      <c r="W842" s="68">
        <f t="shared" si="212"/>
        <v>10501779.279999999</v>
      </c>
      <c r="X842" s="68">
        <f t="shared" si="213"/>
        <v>15130000</v>
      </c>
      <c r="Y842" s="68">
        <f t="shared" si="214"/>
        <v>0</v>
      </c>
      <c r="Z842" s="68">
        <f t="shared" si="215"/>
        <v>0</v>
      </c>
      <c r="AA842" s="68"/>
      <c r="AB842" s="68">
        <v>0</v>
      </c>
      <c r="AC842" s="69">
        <f t="shared" si="216"/>
        <v>25631779.280000001</v>
      </c>
      <c r="AD842" s="70">
        <v>0</v>
      </c>
      <c r="AE842" s="63">
        <v>40403</v>
      </c>
      <c r="AF842" s="72">
        <v>51059</v>
      </c>
      <c r="AG842" s="63" t="s">
        <v>954</v>
      </c>
      <c r="AH842" s="23" t="s">
        <v>955</v>
      </c>
      <c r="AI842" s="75" t="s">
        <v>839</v>
      </c>
      <c r="AJ842" s="133" t="s">
        <v>1323</v>
      </c>
      <c r="AK842" s="73" t="s">
        <v>740</v>
      </c>
      <c r="AL842" s="3"/>
      <c r="AM842" s="4"/>
      <c r="AN842" s="5"/>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v>178</v>
      </c>
      <c r="CM842" s="4">
        <f>178*19999.56</f>
        <v>3559921.68</v>
      </c>
      <c r="CN842" s="6">
        <v>178</v>
      </c>
      <c r="CO842" s="7">
        <f>178*38999.2</f>
        <v>6941857.5999999996</v>
      </c>
      <c r="CP842" s="6"/>
      <c r="CQ842" s="7"/>
      <c r="CR842" s="6"/>
      <c r="CS842" s="7"/>
      <c r="CT842" s="8">
        <f t="shared" si="217"/>
        <v>10501779.279999999</v>
      </c>
      <c r="CU842" s="9"/>
      <c r="CV842" s="10"/>
      <c r="CW842" s="11">
        <v>178</v>
      </c>
      <c r="CX842" s="12">
        <f>178*85000</f>
        <v>15130000</v>
      </c>
      <c r="CY842" s="26"/>
      <c r="CZ842" s="12"/>
      <c r="DA842" s="9"/>
      <c r="DB842" s="10"/>
      <c r="DC842" s="64"/>
      <c r="DD842" s="22"/>
    </row>
    <row r="843" spans="1:108" s="119" customFormat="1" ht="45" outlineLevel="2">
      <c r="A843" s="178">
        <v>40402</v>
      </c>
      <c r="B843" s="82" t="s">
        <v>578</v>
      </c>
      <c r="C843" s="82" t="s">
        <v>1664</v>
      </c>
      <c r="D843" s="165" t="s">
        <v>1262</v>
      </c>
      <c r="E843" s="167"/>
      <c r="F843" s="66"/>
      <c r="G843" s="66"/>
      <c r="H843" s="66">
        <v>119086</v>
      </c>
      <c r="I843" s="66">
        <v>21652</v>
      </c>
      <c r="J843" s="66"/>
      <c r="K843" s="66"/>
      <c r="L843" s="66"/>
      <c r="M843" s="66"/>
      <c r="N843" s="66"/>
      <c r="O843" s="66"/>
      <c r="P843" s="66"/>
      <c r="Q843" s="66"/>
      <c r="R843" s="66"/>
      <c r="S843" s="66"/>
      <c r="T843" s="67"/>
      <c r="U843" s="151"/>
      <c r="V843" s="1">
        <v>40508</v>
      </c>
      <c r="W843" s="68">
        <f t="shared" si="212"/>
        <v>61320000</v>
      </c>
      <c r="X843" s="68">
        <f t="shared" si="213"/>
        <v>51000000</v>
      </c>
      <c r="Y843" s="68">
        <f t="shared" si="214"/>
        <v>0</v>
      </c>
      <c r="Z843" s="68">
        <f t="shared" si="215"/>
        <v>0</v>
      </c>
      <c r="AA843" s="68"/>
      <c r="AB843" s="68">
        <v>0</v>
      </c>
      <c r="AC843" s="69">
        <f t="shared" si="216"/>
        <v>112320000</v>
      </c>
      <c r="AD843" s="70">
        <v>0</v>
      </c>
      <c r="AE843" s="63" t="s">
        <v>2145</v>
      </c>
      <c r="AF843" s="72">
        <v>55133</v>
      </c>
      <c r="AG843" s="63" t="s">
        <v>954</v>
      </c>
      <c r="AH843" s="23" t="s">
        <v>955</v>
      </c>
      <c r="AI843" s="60">
        <v>24642</v>
      </c>
      <c r="AJ843" s="133" t="s">
        <v>415</v>
      </c>
      <c r="AK843" s="73" t="s">
        <v>2055</v>
      </c>
      <c r="AL843" s="3"/>
      <c r="AM843" s="4"/>
      <c r="AN843" s="5"/>
      <c r="AO843" s="4"/>
      <c r="AP843" s="4"/>
      <c r="AQ843" s="4"/>
      <c r="AR843" s="4"/>
      <c r="AS843" s="4"/>
      <c r="AT843" s="4"/>
      <c r="AU843" s="4"/>
      <c r="AV843" s="4"/>
      <c r="AW843" s="4"/>
      <c r="AX843" s="4"/>
      <c r="AY843" s="4"/>
      <c r="AZ843" s="4"/>
      <c r="BA843" s="4"/>
      <c r="BB843" s="4"/>
      <c r="BC843" s="4"/>
      <c r="BD843" s="4"/>
      <c r="BE843" s="4"/>
      <c r="BF843" s="4"/>
      <c r="BG843" s="4"/>
      <c r="BH843" s="4"/>
      <c r="BI843" s="4"/>
      <c r="BJ843" s="4">
        <v>600</v>
      </c>
      <c r="BK843" s="4">
        <f>600*25500</f>
        <v>15300000</v>
      </c>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6">
        <v>600</v>
      </c>
      <c r="CO843" s="7">
        <f>600*37000</f>
        <v>22200000</v>
      </c>
      <c r="CP843" s="6">
        <v>600</v>
      </c>
      <c r="CQ843" s="7">
        <f>600*39700</f>
        <v>23820000</v>
      </c>
      <c r="CR843" s="6"/>
      <c r="CS843" s="7"/>
      <c r="CT843" s="8">
        <f t="shared" si="217"/>
        <v>61320000</v>
      </c>
      <c r="CU843" s="9"/>
      <c r="CV843" s="10"/>
      <c r="CW843" s="11">
        <v>600</v>
      </c>
      <c r="CX843" s="12">
        <f>600*85000</f>
        <v>51000000</v>
      </c>
      <c r="CY843" s="26"/>
      <c r="CZ843" s="12"/>
      <c r="DA843" s="9"/>
      <c r="DB843" s="10"/>
      <c r="DC843" s="64"/>
      <c r="DD843" s="22"/>
    </row>
    <row r="844" spans="1:108" s="119" customFormat="1" outlineLevel="2">
      <c r="A844" s="178">
        <v>40414</v>
      </c>
      <c r="B844" s="174" t="s">
        <v>578</v>
      </c>
      <c r="C844" s="174" t="s">
        <v>2241</v>
      </c>
      <c r="D844" s="179" t="s">
        <v>435</v>
      </c>
      <c r="E844" s="163"/>
      <c r="F844" s="105"/>
      <c r="G844" s="105"/>
      <c r="H844" s="105">
        <v>35</v>
      </c>
      <c r="I844" s="105">
        <v>7</v>
      </c>
      <c r="J844" s="105"/>
      <c r="K844" s="105">
        <v>7</v>
      </c>
      <c r="L844" s="105"/>
      <c r="M844" s="105"/>
      <c r="N844" s="105"/>
      <c r="O844" s="105"/>
      <c r="P844" s="105"/>
      <c r="Q844" s="105"/>
      <c r="R844" s="105"/>
      <c r="S844" s="105"/>
      <c r="T844" s="106"/>
      <c r="U844" s="130"/>
      <c r="V844" s="1"/>
      <c r="W844" s="68">
        <f t="shared" si="212"/>
        <v>0</v>
      </c>
      <c r="X844" s="68">
        <f t="shared" si="213"/>
        <v>0</v>
      </c>
      <c r="Y844" s="68">
        <f t="shared" si="214"/>
        <v>0</v>
      </c>
      <c r="Z844" s="68">
        <f t="shared" si="215"/>
        <v>0</v>
      </c>
      <c r="AA844" s="68"/>
      <c r="AB844" s="68">
        <v>0</v>
      </c>
      <c r="AC844" s="69">
        <f t="shared" si="216"/>
        <v>0</v>
      </c>
      <c r="AD844" s="70">
        <v>0</v>
      </c>
      <c r="AE844" s="63">
        <v>40416</v>
      </c>
      <c r="AF844" s="72"/>
      <c r="AG844" s="63" t="s">
        <v>938</v>
      </c>
      <c r="AH844" s="23" t="s">
        <v>939</v>
      </c>
      <c r="AI844" s="60"/>
      <c r="AJ844" s="124" t="s">
        <v>1608</v>
      </c>
      <c r="AK844" s="121" t="s">
        <v>1565</v>
      </c>
      <c r="AL844" s="107"/>
      <c r="AM844" s="108"/>
      <c r="AN844" s="109"/>
      <c r="AO844" s="108"/>
      <c r="AP844" s="108"/>
      <c r="AQ844" s="108"/>
      <c r="AR844" s="108"/>
      <c r="AS844" s="108"/>
      <c r="AT844" s="108"/>
      <c r="AU844" s="108"/>
      <c r="AV844" s="108"/>
      <c r="AW844" s="108"/>
      <c r="AX844" s="108"/>
      <c r="AY844" s="108"/>
      <c r="AZ844" s="108"/>
      <c r="BA844" s="108"/>
      <c r="BB844" s="108"/>
      <c r="BC844" s="108"/>
      <c r="BD844" s="108"/>
      <c r="BE844" s="108"/>
      <c r="BF844" s="108"/>
      <c r="BG844" s="108"/>
      <c r="BH844" s="108"/>
      <c r="BI844" s="108"/>
      <c r="BJ844" s="108"/>
      <c r="BK844" s="108"/>
      <c r="BL844" s="108"/>
      <c r="BM844" s="108"/>
      <c r="BN844" s="108"/>
      <c r="BO844" s="108"/>
      <c r="BP844" s="108"/>
      <c r="BQ844" s="108"/>
      <c r="BR844" s="108"/>
      <c r="BS844" s="108"/>
      <c r="BT844" s="108"/>
      <c r="BU844" s="108"/>
      <c r="BV844" s="108"/>
      <c r="BW844" s="108"/>
      <c r="BX844" s="108"/>
      <c r="BY844" s="108"/>
      <c r="BZ844" s="108"/>
      <c r="CA844" s="108"/>
      <c r="CB844" s="108"/>
      <c r="CC844" s="108"/>
      <c r="CD844" s="108"/>
      <c r="CE844" s="108"/>
      <c r="CF844" s="108"/>
      <c r="CG844" s="108"/>
      <c r="CH844" s="108"/>
      <c r="CI844" s="108"/>
      <c r="CJ844" s="108"/>
      <c r="CK844" s="108"/>
      <c r="CL844" s="108"/>
      <c r="CM844" s="108"/>
      <c r="CN844" s="110"/>
      <c r="CO844" s="111"/>
      <c r="CP844" s="110"/>
      <c r="CQ844" s="111"/>
      <c r="CR844" s="110"/>
      <c r="CS844" s="111"/>
      <c r="CT844" s="112">
        <f t="shared" si="217"/>
        <v>0</v>
      </c>
      <c r="CU844" s="113"/>
      <c r="CV844" s="114"/>
      <c r="CW844" s="115"/>
      <c r="CX844" s="116"/>
      <c r="CY844" s="117"/>
      <c r="CZ844" s="116"/>
      <c r="DA844" s="113"/>
      <c r="DB844" s="114"/>
      <c r="DC844" s="64"/>
      <c r="DD844" s="118"/>
    </row>
    <row r="845" spans="1:108" s="119" customFormat="1" ht="24" outlineLevel="2">
      <c r="A845" s="178">
        <v>40427</v>
      </c>
      <c r="B845" s="174" t="s">
        <v>578</v>
      </c>
      <c r="C845" s="174" t="s">
        <v>1999</v>
      </c>
      <c r="D845" s="166" t="s">
        <v>944</v>
      </c>
      <c r="E845" s="163">
        <v>1</v>
      </c>
      <c r="F845" s="105"/>
      <c r="G845" s="105"/>
      <c r="H845" s="105"/>
      <c r="I845" s="105"/>
      <c r="J845" s="105"/>
      <c r="K845" s="105"/>
      <c r="L845" s="105"/>
      <c r="M845" s="105"/>
      <c r="N845" s="105"/>
      <c r="O845" s="105"/>
      <c r="P845" s="105"/>
      <c r="Q845" s="105"/>
      <c r="R845" s="105"/>
      <c r="S845" s="105"/>
      <c r="T845" s="106"/>
      <c r="U845" s="130"/>
      <c r="V845" s="1"/>
      <c r="W845" s="68">
        <f t="shared" si="212"/>
        <v>0</v>
      </c>
      <c r="X845" s="68">
        <f t="shared" si="213"/>
        <v>0</v>
      </c>
      <c r="Y845" s="68">
        <f t="shared" si="214"/>
        <v>0</v>
      </c>
      <c r="Z845" s="68">
        <f t="shared" si="215"/>
        <v>0</v>
      </c>
      <c r="AA845" s="68"/>
      <c r="AB845" s="68">
        <v>0</v>
      </c>
      <c r="AC845" s="69">
        <f t="shared" si="216"/>
        <v>0</v>
      </c>
      <c r="AD845" s="70">
        <v>0</v>
      </c>
      <c r="AE845" s="63">
        <v>40428</v>
      </c>
      <c r="AF845" s="72"/>
      <c r="AG845" s="63" t="s">
        <v>938</v>
      </c>
      <c r="AH845" s="23" t="s">
        <v>939</v>
      </c>
      <c r="AI845" s="60"/>
      <c r="AJ845" s="124" t="s">
        <v>1608</v>
      </c>
      <c r="AK845" s="121" t="s">
        <v>1744</v>
      </c>
      <c r="AL845" s="107"/>
      <c r="AM845" s="108"/>
      <c r="AN845" s="109"/>
      <c r="AO845" s="108"/>
      <c r="AP845" s="108"/>
      <c r="AQ845" s="108"/>
      <c r="AR845" s="108"/>
      <c r="AS845" s="108"/>
      <c r="AT845" s="108"/>
      <c r="AU845" s="108"/>
      <c r="AV845" s="108"/>
      <c r="AW845" s="108"/>
      <c r="AX845" s="108"/>
      <c r="AY845" s="108"/>
      <c r="AZ845" s="108"/>
      <c r="BA845" s="108"/>
      <c r="BB845" s="108"/>
      <c r="BC845" s="108"/>
      <c r="BD845" s="108"/>
      <c r="BE845" s="108"/>
      <c r="BF845" s="108"/>
      <c r="BG845" s="108"/>
      <c r="BH845" s="108"/>
      <c r="BI845" s="108"/>
      <c r="BJ845" s="108"/>
      <c r="BK845" s="108"/>
      <c r="BL845" s="108"/>
      <c r="BM845" s="108"/>
      <c r="BN845" s="108"/>
      <c r="BO845" s="108"/>
      <c r="BP845" s="108"/>
      <c r="BQ845" s="108"/>
      <c r="BR845" s="108"/>
      <c r="BS845" s="108"/>
      <c r="BT845" s="108"/>
      <c r="BU845" s="108"/>
      <c r="BV845" s="108"/>
      <c r="BW845" s="108"/>
      <c r="BX845" s="108"/>
      <c r="BY845" s="108"/>
      <c r="BZ845" s="108"/>
      <c r="CA845" s="108"/>
      <c r="CB845" s="108"/>
      <c r="CC845" s="108"/>
      <c r="CD845" s="108"/>
      <c r="CE845" s="108"/>
      <c r="CF845" s="108"/>
      <c r="CG845" s="108"/>
      <c r="CH845" s="108"/>
      <c r="CI845" s="108"/>
      <c r="CJ845" s="108"/>
      <c r="CK845" s="108"/>
      <c r="CL845" s="108"/>
      <c r="CM845" s="108"/>
      <c r="CN845" s="110"/>
      <c r="CO845" s="111"/>
      <c r="CP845" s="110"/>
      <c r="CQ845" s="111"/>
      <c r="CR845" s="110"/>
      <c r="CS845" s="111"/>
      <c r="CT845" s="112">
        <f t="shared" si="217"/>
        <v>0</v>
      </c>
      <c r="CU845" s="113"/>
      <c r="CV845" s="114"/>
      <c r="CW845" s="115"/>
      <c r="CX845" s="116"/>
      <c r="CY845" s="117"/>
      <c r="CZ845" s="116"/>
      <c r="DA845" s="113"/>
      <c r="DB845" s="114"/>
      <c r="DC845" s="64"/>
      <c r="DD845" s="118"/>
    </row>
    <row r="846" spans="1:108" s="119" customFormat="1" ht="144" outlineLevel="2">
      <c r="A846" s="178">
        <v>40429</v>
      </c>
      <c r="B846" s="174" t="s">
        <v>578</v>
      </c>
      <c r="C846" s="174" t="s">
        <v>1999</v>
      </c>
      <c r="D846" s="179" t="s">
        <v>1262</v>
      </c>
      <c r="E846" s="163"/>
      <c r="F846" s="105"/>
      <c r="G846" s="105"/>
      <c r="H846" s="105">
        <f>5607*5</f>
        <v>28035</v>
      </c>
      <c r="I846" s="105">
        <v>5607</v>
      </c>
      <c r="J846" s="105">
        <v>12</v>
      </c>
      <c r="K846" s="105">
        <v>5595</v>
      </c>
      <c r="L846" s="105"/>
      <c r="M846" s="105"/>
      <c r="N846" s="105"/>
      <c r="O846" s="105"/>
      <c r="P846" s="105"/>
      <c r="Q846" s="105"/>
      <c r="R846" s="105"/>
      <c r="S846" s="105"/>
      <c r="T846" s="106">
        <v>2834</v>
      </c>
      <c r="U846" s="130"/>
      <c r="V846" s="1">
        <v>40466</v>
      </c>
      <c r="W846" s="68">
        <f t="shared" si="212"/>
        <v>77465371.879999995</v>
      </c>
      <c r="X846" s="68">
        <f t="shared" si="213"/>
        <v>111605000</v>
      </c>
      <c r="Y846" s="68">
        <f t="shared" si="214"/>
        <v>0</v>
      </c>
      <c r="Z846" s="68">
        <f t="shared" si="215"/>
        <v>0</v>
      </c>
      <c r="AA846" s="68">
        <v>54288000</v>
      </c>
      <c r="AB846" s="68">
        <v>0</v>
      </c>
      <c r="AC846" s="69">
        <f t="shared" si="216"/>
        <v>243358371.88</v>
      </c>
      <c r="AD846" s="70">
        <v>0</v>
      </c>
      <c r="AE846" s="63">
        <v>40429</v>
      </c>
      <c r="AF846" s="72">
        <v>51059</v>
      </c>
      <c r="AG846" s="63" t="s">
        <v>954</v>
      </c>
      <c r="AH846" s="23" t="s">
        <v>955</v>
      </c>
      <c r="AI846" s="75" t="s">
        <v>1817</v>
      </c>
      <c r="AJ846" s="124" t="s">
        <v>1323</v>
      </c>
      <c r="AK846" s="121" t="s">
        <v>2340</v>
      </c>
      <c r="AL846" s="107"/>
      <c r="AM846" s="108"/>
      <c r="AN846" s="109"/>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c r="BJ846" s="108"/>
      <c r="BK846" s="108"/>
      <c r="BL846" s="108"/>
      <c r="BM846" s="108"/>
      <c r="BN846" s="108"/>
      <c r="BO846" s="108"/>
      <c r="BP846" s="108"/>
      <c r="BQ846" s="108"/>
      <c r="BR846" s="108"/>
      <c r="BS846" s="108"/>
      <c r="BT846" s="108"/>
      <c r="BU846" s="108"/>
      <c r="BV846" s="108"/>
      <c r="BW846" s="108"/>
      <c r="BX846" s="108"/>
      <c r="BY846" s="108"/>
      <c r="BZ846" s="108"/>
      <c r="CA846" s="108"/>
      <c r="CB846" s="108"/>
      <c r="CC846" s="108"/>
      <c r="CD846" s="108"/>
      <c r="CE846" s="108"/>
      <c r="CF846" s="108"/>
      <c r="CG846" s="108"/>
      <c r="CH846" s="108"/>
      <c r="CI846" s="108"/>
      <c r="CJ846" s="108"/>
      <c r="CK846" s="108"/>
      <c r="CL846" s="108">
        <v>1313</v>
      </c>
      <c r="CM846" s="108">
        <f>1313*19999.56</f>
        <v>26259422.280000001</v>
      </c>
      <c r="CN846" s="110">
        <v>1313</v>
      </c>
      <c r="CO846" s="111">
        <f>1313*38999.2</f>
        <v>51205949.599999994</v>
      </c>
      <c r="CP846" s="110"/>
      <c r="CQ846" s="111"/>
      <c r="CR846" s="110"/>
      <c r="CS846" s="111"/>
      <c r="CT846" s="112">
        <f t="shared" si="217"/>
        <v>77465371.879999995</v>
      </c>
      <c r="CU846" s="113"/>
      <c r="CV846" s="114"/>
      <c r="CW846" s="115">
        <v>1313</v>
      </c>
      <c r="CX846" s="116">
        <f>1313*85000</f>
        <v>111605000</v>
      </c>
      <c r="CY846" s="117"/>
      <c r="CZ846" s="116"/>
      <c r="DA846" s="113"/>
      <c r="DB846" s="114"/>
      <c r="DC846" s="64"/>
      <c r="DD846" s="118"/>
    </row>
    <row r="847" spans="1:108" s="119" customFormat="1" ht="48" outlineLevel="2">
      <c r="A847" s="178">
        <v>40431</v>
      </c>
      <c r="B847" s="164" t="s">
        <v>578</v>
      </c>
      <c r="C847" s="164" t="s">
        <v>2217</v>
      </c>
      <c r="D847" s="166" t="s">
        <v>435</v>
      </c>
      <c r="E847" s="163"/>
      <c r="F847" s="105"/>
      <c r="G847" s="105"/>
      <c r="H847" s="105">
        <f>137*5-117</f>
        <v>568</v>
      </c>
      <c r="I847" s="105">
        <f>137-32</f>
        <v>105</v>
      </c>
      <c r="J847" s="105"/>
      <c r="K847" s="105">
        <v>137</v>
      </c>
      <c r="L847" s="105"/>
      <c r="M847" s="105"/>
      <c r="N847" s="105"/>
      <c r="O847" s="105"/>
      <c r="P847" s="105"/>
      <c r="Q847" s="105"/>
      <c r="R847" s="105">
        <v>3</v>
      </c>
      <c r="S847" s="105"/>
      <c r="T847" s="106"/>
      <c r="U847" s="130"/>
      <c r="V847" s="1">
        <v>40508</v>
      </c>
      <c r="W847" s="68">
        <f t="shared" si="212"/>
        <v>17494900</v>
      </c>
      <c r="X847" s="68">
        <f t="shared" si="213"/>
        <v>11645000</v>
      </c>
      <c r="Y847" s="68">
        <f t="shared" si="214"/>
        <v>0</v>
      </c>
      <c r="Z847" s="68">
        <f t="shared" si="215"/>
        <v>0</v>
      </c>
      <c r="AA847" s="68"/>
      <c r="AB847" s="68">
        <v>0</v>
      </c>
      <c r="AC847" s="69">
        <f t="shared" si="216"/>
        <v>29139900</v>
      </c>
      <c r="AD847" s="70">
        <v>0</v>
      </c>
      <c r="AE847" s="63">
        <v>40484</v>
      </c>
      <c r="AF847" s="72">
        <v>59457</v>
      </c>
      <c r="AG847" s="63" t="s">
        <v>954</v>
      </c>
      <c r="AH847" s="23" t="s">
        <v>955</v>
      </c>
      <c r="AI847" s="83">
        <v>24642</v>
      </c>
      <c r="AJ847" s="133" t="s">
        <v>415</v>
      </c>
      <c r="AK847" s="121" t="s">
        <v>997</v>
      </c>
      <c r="AL847" s="107"/>
      <c r="AM847" s="108"/>
      <c r="AN847" s="109"/>
      <c r="AO847" s="108"/>
      <c r="AP847" s="108"/>
      <c r="AQ847" s="108"/>
      <c r="AR847" s="108"/>
      <c r="AS847" s="108"/>
      <c r="AT847" s="108"/>
      <c r="AU847" s="108"/>
      <c r="AV847" s="108"/>
      <c r="AW847" s="108"/>
      <c r="AX847" s="108"/>
      <c r="AY847" s="108"/>
      <c r="AZ847" s="108"/>
      <c r="BA847" s="108"/>
      <c r="BB847" s="108"/>
      <c r="BC847" s="108"/>
      <c r="BD847" s="108"/>
      <c r="BE847" s="108"/>
      <c r="BF847" s="108"/>
      <c r="BG847" s="108"/>
      <c r="BH847" s="108"/>
      <c r="BI847" s="108"/>
      <c r="BJ847" s="108">
        <v>274</v>
      </c>
      <c r="BK847" s="108">
        <f>274*25500</f>
        <v>6987000</v>
      </c>
      <c r="BL847" s="108"/>
      <c r="BM847" s="108"/>
      <c r="BN847" s="108"/>
      <c r="BO847" s="108"/>
      <c r="BP847" s="108"/>
      <c r="BQ847" s="108"/>
      <c r="BR847" s="108"/>
      <c r="BS847" s="108"/>
      <c r="BT847" s="108"/>
      <c r="BU847" s="108"/>
      <c r="BV847" s="108"/>
      <c r="BW847" s="108"/>
      <c r="BX847" s="108"/>
      <c r="BY847" s="108"/>
      <c r="BZ847" s="108"/>
      <c r="CA847" s="108"/>
      <c r="CB847" s="108"/>
      <c r="CC847" s="108"/>
      <c r="CD847" s="108"/>
      <c r="CE847" s="108"/>
      <c r="CF847" s="108"/>
      <c r="CG847" s="108"/>
      <c r="CH847" s="108"/>
      <c r="CI847" s="108"/>
      <c r="CJ847" s="108"/>
      <c r="CK847" s="108"/>
      <c r="CL847" s="108"/>
      <c r="CM847" s="108"/>
      <c r="CN847" s="110">
        <v>137</v>
      </c>
      <c r="CO847" s="111">
        <f>137*37000</f>
        <v>5069000</v>
      </c>
      <c r="CP847" s="110">
        <v>137</v>
      </c>
      <c r="CQ847" s="111">
        <f>137*39700</f>
        <v>5438900</v>
      </c>
      <c r="CR847" s="110"/>
      <c r="CS847" s="111"/>
      <c r="CT847" s="112">
        <f t="shared" si="217"/>
        <v>17494900</v>
      </c>
      <c r="CU847" s="113"/>
      <c r="CV847" s="114"/>
      <c r="CW847" s="115">
        <v>137</v>
      </c>
      <c r="CX847" s="116">
        <f>137*85000</f>
        <v>11645000</v>
      </c>
      <c r="CY847" s="117"/>
      <c r="CZ847" s="116"/>
      <c r="DA847" s="113"/>
      <c r="DB847" s="114"/>
      <c r="DC847" s="64"/>
      <c r="DD847" s="118"/>
    </row>
    <row r="848" spans="1:108" s="119" customFormat="1" ht="156" outlineLevel="2">
      <c r="A848" s="178">
        <v>40440</v>
      </c>
      <c r="B848" s="164" t="s">
        <v>578</v>
      </c>
      <c r="C848" s="164" t="s">
        <v>579</v>
      </c>
      <c r="D848" s="166" t="s">
        <v>1262</v>
      </c>
      <c r="E848" s="163"/>
      <c r="F848" s="105"/>
      <c r="G848" s="105"/>
      <c r="H848" s="105">
        <v>43384</v>
      </c>
      <c r="I848" s="105">
        <v>7888</v>
      </c>
      <c r="J848" s="105"/>
      <c r="K848" s="105"/>
      <c r="L848" s="105"/>
      <c r="M848" s="105"/>
      <c r="N848" s="105"/>
      <c r="O848" s="105"/>
      <c r="P848" s="105"/>
      <c r="Q848" s="105"/>
      <c r="R848" s="105"/>
      <c r="S848" s="105"/>
      <c r="T848" s="106">
        <v>17</v>
      </c>
      <c r="U848" s="130"/>
      <c r="V848" s="1">
        <v>40514</v>
      </c>
      <c r="W848" s="68">
        <f t="shared" si="212"/>
        <v>103324200</v>
      </c>
      <c r="X848" s="68">
        <f t="shared" si="213"/>
        <v>85935000</v>
      </c>
      <c r="Y848" s="68">
        <f t="shared" si="214"/>
        <v>0</v>
      </c>
      <c r="Z848" s="68">
        <f t="shared" si="215"/>
        <v>1800000</v>
      </c>
      <c r="AA848" s="68"/>
      <c r="AB848" s="68">
        <v>0</v>
      </c>
      <c r="AC848" s="69">
        <f t="shared" si="216"/>
        <v>191059200</v>
      </c>
      <c r="AD848" s="70">
        <v>0</v>
      </c>
      <c r="AE848" s="63">
        <v>40441</v>
      </c>
      <c r="AF848" s="72">
        <v>59457</v>
      </c>
      <c r="AG848" s="63" t="s">
        <v>954</v>
      </c>
      <c r="AH848" s="23" t="s">
        <v>955</v>
      </c>
      <c r="AI848" s="75" t="s">
        <v>2144</v>
      </c>
      <c r="AJ848" s="133" t="s">
        <v>415</v>
      </c>
      <c r="AK848" s="121" t="s">
        <v>998</v>
      </c>
      <c r="AL848" s="107"/>
      <c r="AM848" s="108"/>
      <c r="AN848" s="109"/>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c r="BJ848" s="108">
        <v>1011</v>
      </c>
      <c r="BK848" s="108">
        <f>1011*25500</f>
        <v>25780500</v>
      </c>
      <c r="BL848" s="108"/>
      <c r="BM848" s="108"/>
      <c r="BN848" s="108"/>
      <c r="BO848" s="108"/>
      <c r="BP848" s="108"/>
      <c r="BQ848" s="108"/>
      <c r="BR848" s="108"/>
      <c r="BS848" s="108"/>
      <c r="BT848" s="108"/>
      <c r="BU848" s="108"/>
      <c r="BV848" s="108"/>
      <c r="BW848" s="108"/>
      <c r="BX848" s="108"/>
      <c r="BY848" s="108"/>
      <c r="BZ848" s="108"/>
      <c r="CA848" s="108"/>
      <c r="CB848" s="108"/>
      <c r="CC848" s="108"/>
      <c r="CD848" s="108"/>
      <c r="CE848" s="108"/>
      <c r="CF848" s="108"/>
      <c r="CG848" s="108"/>
      <c r="CH848" s="108"/>
      <c r="CI848" s="108"/>
      <c r="CJ848" s="108"/>
      <c r="CK848" s="108"/>
      <c r="CL848" s="108"/>
      <c r="CM848" s="108"/>
      <c r="CN848" s="110">
        <v>1011</v>
      </c>
      <c r="CO848" s="111">
        <f>1011*37000</f>
        <v>37407000</v>
      </c>
      <c r="CP848" s="110">
        <v>1011</v>
      </c>
      <c r="CQ848" s="111">
        <f>1011*39700</f>
        <v>40136700</v>
      </c>
      <c r="CR848" s="110"/>
      <c r="CS848" s="111"/>
      <c r="CT848" s="112">
        <f t="shared" si="217"/>
        <v>103324200</v>
      </c>
      <c r="CU848" s="113">
        <v>2000</v>
      </c>
      <c r="CV848" s="114">
        <f>2000*900</f>
        <v>1800000</v>
      </c>
      <c r="CW848" s="115">
        <v>1011</v>
      </c>
      <c r="CX848" s="116">
        <f>1011*85000</f>
        <v>85935000</v>
      </c>
      <c r="CY848" s="117"/>
      <c r="CZ848" s="116"/>
      <c r="DA848" s="113"/>
      <c r="DB848" s="114"/>
      <c r="DC848" s="64"/>
      <c r="DD848" s="118"/>
    </row>
    <row r="849" spans="1:108" s="119" customFormat="1" ht="48" outlineLevel="2">
      <c r="A849" s="178">
        <v>40442</v>
      </c>
      <c r="B849" s="164" t="s">
        <v>578</v>
      </c>
      <c r="C849" s="164" t="s">
        <v>274</v>
      </c>
      <c r="D849" s="166" t="s">
        <v>1262</v>
      </c>
      <c r="E849" s="163"/>
      <c r="F849" s="105"/>
      <c r="G849" s="105"/>
      <c r="H849" s="105">
        <v>462</v>
      </c>
      <c r="I849" s="105">
        <v>107</v>
      </c>
      <c r="J849" s="105"/>
      <c r="K849" s="105">
        <v>107</v>
      </c>
      <c r="L849" s="105"/>
      <c r="M849" s="105"/>
      <c r="N849" s="105"/>
      <c r="O849" s="105"/>
      <c r="P849" s="105"/>
      <c r="Q849" s="105"/>
      <c r="R849" s="105"/>
      <c r="S849" s="105"/>
      <c r="T849" s="106"/>
      <c r="U849" s="130" t="s">
        <v>996</v>
      </c>
      <c r="V849" s="1">
        <v>40508</v>
      </c>
      <c r="W849" s="68">
        <f t="shared" si="212"/>
        <v>12616600</v>
      </c>
      <c r="X849" s="68">
        <f t="shared" si="213"/>
        <v>8330000</v>
      </c>
      <c r="Y849" s="68">
        <f t="shared" si="214"/>
        <v>0</v>
      </c>
      <c r="Z849" s="68">
        <f t="shared" si="215"/>
        <v>0</v>
      </c>
      <c r="AA849" s="68"/>
      <c r="AB849" s="68">
        <v>0</v>
      </c>
      <c r="AC849" s="69">
        <f t="shared" si="216"/>
        <v>20946600</v>
      </c>
      <c r="AD849" s="70">
        <v>0</v>
      </c>
      <c r="AE849" s="63">
        <v>40476</v>
      </c>
      <c r="AF849" s="72">
        <v>59457</v>
      </c>
      <c r="AG849" s="63" t="s">
        <v>954</v>
      </c>
      <c r="AH849" s="23" t="s">
        <v>955</v>
      </c>
      <c r="AI849" s="60">
        <v>24642</v>
      </c>
      <c r="AJ849" s="133" t="s">
        <v>415</v>
      </c>
      <c r="AK849" s="121" t="s">
        <v>995</v>
      </c>
      <c r="AL849" s="107"/>
      <c r="AM849" s="108"/>
      <c r="AN849" s="109"/>
      <c r="AO849" s="108"/>
      <c r="AP849" s="108"/>
      <c r="AQ849" s="108"/>
      <c r="AR849" s="108"/>
      <c r="AS849" s="108"/>
      <c r="AT849" s="108"/>
      <c r="AU849" s="108"/>
      <c r="AV849" s="108"/>
      <c r="AW849" s="108"/>
      <c r="AX849" s="108"/>
      <c r="AY849" s="108"/>
      <c r="AZ849" s="108"/>
      <c r="BA849" s="108"/>
      <c r="BB849" s="108"/>
      <c r="BC849" s="108"/>
      <c r="BD849" s="108"/>
      <c r="BE849" s="108"/>
      <c r="BF849" s="108"/>
      <c r="BG849" s="108"/>
      <c r="BH849" s="108"/>
      <c r="BI849" s="108"/>
      <c r="BJ849" s="108">
        <v>200</v>
      </c>
      <c r="BK849" s="108">
        <f>200*25500</f>
        <v>5100000</v>
      </c>
      <c r="BL849" s="108"/>
      <c r="BM849" s="108"/>
      <c r="BN849" s="108"/>
      <c r="BO849" s="108"/>
      <c r="BP849" s="108"/>
      <c r="BQ849" s="108"/>
      <c r="BR849" s="108"/>
      <c r="BS849" s="108"/>
      <c r="BT849" s="108"/>
      <c r="BU849" s="108"/>
      <c r="BV849" s="108"/>
      <c r="BW849" s="108"/>
      <c r="BX849" s="108"/>
      <c r="BY849" s="108"/>
      <c r="BZ849" s="108"/>
      <c r="CA849" s="108"/>
      <c r="CB849" s="108"/>
      <c r="CC849" s="108"/>
      <c r="CD849" s="108"/>
      <c r="CE849" s="108"/>
      <c r="CF849" s="108"/>
      <c r="CG849" s="108"/>
      <c r="CH849" s="108"/>
      <c r="CI849" s="108"/>
      <c r="CJ849" s="108"/>
      <c r="CK849" s="108"/>
      <c r="CL849" s="108"/>
      <c r="CM849" s="108"/>
      <c r="CN849" s="110">
        <v>98</v>
      </c>
      <c r="CO849" s="111">
        <f>98*37000</f>
        <v>3626000</v>
      </c>
      <c r="CP849" s="110">
        <v>98</v>
      </c>
      <c r="CQ849" s="111">
        <f>98*39700</f>
        <v>3890600</v>
      </c>
      <c r="CR849" s="110"/>
      <c r="CS849" s="111"/>
      <c r="CT849" s="112">
        <f t="shared" si="217"/>
        <v>12616600</v>
      </c>
      <c r="CU849" s="113"/>
      <c r="CV849" s="114"/>
      <c r="CW849" s="115">
        <v>98</v>
      </c>
      <c r="CX849" s="116">
        <f>98*85000</f>
        <v>8330000</v>
      </c>
      <c r="CY849" s="117"/>
      <c r="CZ849" s="116"/>
      <c r="DA849" s="113"/>
      <c r="DB849" s="114"/>
      <c r="DC849" s="64"/>
      <c r="DD849" s="118"/>
    </row>
    <row r="850" spans="1:108" s="119" customFormat="1" ht="45" outlineLevel="2">
      <c r="A850" s="178">
        <v>40443</v>
      </c>
      <c r="B850" s="164" t="s">
        <v>578</v>
      </c>
      <c r="C850" s="164" t="s">
        <v>1872</v>
      </c>
      <c r="D850" s="166" t="s">
        <v>1262</v>
      </c>
      <c r="E850" s="169"/>
      <c r="F850" s="131"/>
      <c r="G850" s="131"/>
      <c r="H850" s="131">
        <f>1215*5-880</f>
        <v>5195</v>
      </c>
      <c r="I850" s="131">
        <f>1215-349</f>
        <v>866</v>
      </c>
      <c r="J850" s="131"/>
      <c r="K850" s="131"/>
      <c r="L850" s="131"/>
      <c r="M850" s="131"/>
      <c r="N850" s="131"/>
      <c r="O850" s="131"/>
      <c r="P850" s="131"/>
      <c r="Q850" s="131"/>
      <c r="R850" s="131"/>
      <c r="S850" s="131"/>
      <c r="T850" s="138">
        <v>133</v>
      </c>
      <c r="U850" s="130"/>
      <c r="V850" s="1">
        <v>40508</v>
      </c>
      <c r="W850" s="68">
        <f t="shared" si="212"/>
        <v>124173000</v>
      </c>
      <c r="X850" s="68">
        <f t="shared" si="213"/>
        <v>103275000</v>
      </c>
      <c r="Y850" s="68">
        <f t="shared" si="214"/>
        <v>0</v>
      </c>
      <c r="Z850" s="68">
        <f t="shared" si="215"/>
        <v>0</v>
      </c>
      <c r="AA850" s="68"/>
      <c r="AB850" s="68">
        <v>0</v>
      </c>
      <c r="AC850" s="69">
        <f t="shared" si="216"/>
        <v>227448000</v>
      </c>
      <c r="AD850" s="70">
        <v>0</v>
      </c>
      <c r="AE850" s="63">
        <v>40449</v>
      </c>
      <c r="AF850" s="72">
        <v>59457</v>
      </c>
      <c r="AG850" s="63" t="s">
        <v>954</v>
      </c>
      <c r="AH850" s="23" t="s">
        <v>955</v>
      </c>
      <c r="AI850" s="60">
        <v>25041</v>
      </c>
      <c r="AJ850" s="133" t="s">
        <v>415</v>
      </c>
      <c r="AK850" s="121" t="s">
        <v>1612</v>
      </c>
      <c r="AL850" s="107"/>
      <c r="AM850" s="108"/>
      <c r="AN850" s="109"/>
      <c r="AO850" s="108"/>
      <c r="AP850" s="108"/>
      <c r="AQ850" s="108"/>
      <c r="AR850" s="108"/>
      <c r="AS850" s="108"/>
      <c r="AT850" s="108"/>
      <c r="AU850" s="108"/>
      <c r="AV850" s="108"/>
      <c r="AW850" s="108"/>
      <c r="AX850" s="108"/>
      <c r="AY850" s="108"/>
      <c r="AZ850" s="108"/>
      <c r="BA850" s="108"/>
      <c r="BB850" s="108"/>
      <c r="BC850" s="108"/>
      <c r="BD850" s="108"/>
      <c r="BE850" s="108"/>
      <c r="BF850" s="108"/>
      <c r="BG850" s="108"/>
      <c r="BH850" s="108"/>
      <c r="BI850" s="108"/>
      <c r="BJ850" s="108">
        <v>1215</v>
      </c>
      <c r="BK850" s="108">
        <f>1215*25500</f>
        <v>30982500</v>
      </c>
      <c r="BL850" s="108"/>
      <c r="BM850" s="108"/>
      <c r="BN850" s="108"/>
      <c r="BO850" s="108"/>
      <c r="BP850" s="108"/>
      <c r="BQ850" s="108"/>
      <c r="BR850" s="108"/>
      <c r="BS850" s="108"/>
      <c r="BT850" s="108"/>
      <c r="BU850" s="108"/>
      <c r="BV850" s="108"/>
      <c r="BW850" s="108"/>
      <c r="BX850" s="108"/>
      <c r="BY850" s="108"/>
      <c r="BZ850" s="108"/>
      <c r="CA850" s="108"/>
      <c r="CB850" s="108"/>
      <c r="CC850" s="108"/>
      <c r="CD850" s="108"/>
      <c r="CE850" s="108"/>
      <c r="CF850" s="108"/>
      <c r="CG850" s="108"/>
      <c r="CH850" s="108"/>
      <c r="CI850" s="108"/>
      <c r="CJ850" s="108"/>
      <c r="CK850" s="108"/>
      <c r="CL850" s="108"/>
      <c r="CM850" s="108"/>
      <c r="CN850" s="139">
        <v>1215</v>
      </c>
      <c r="CO850" s="140">
        <f>1215*37000</f>
        <v>44955000</v>
      </c>
      <c r="CP850" s="139">
        <v>1215</v>
      </c>
      <c r="CQ850" s="140">
        <f>1215*39700</f>
        <v>48235500</v>
      </c>
      <c r="CR850" s="139"/>
      <c r="CS850" s="140"/>
      <c r="CT850" s="112">
        <f t="shared" si="217"/>
        <v>124173000</v>
      </c>
      <c r="CU850" s="141"/>
      <c r="CV850" s="142"/>
      <c r="CW850" s="143">
        <v>1215</v>
      </c>
      <c r="CX850" s="144">
        <f>1215*85000</f>
        <v>103275000</v>
      </c>
      <c r="CY850" s="145"/>
      <c r="CZ850" s="144"/>
      <c r="DA850" s="141"/>
      <c r="DB850" s="142"/>
      <c r="DC850" s="64"/>
      <c r="DD850" s="126"/>
    </row>
    <row r="851" spans="1:108" s="119" customFormat="1" ht="45" outlineLevel="2">
      <c r="A851" s="178">
        <v>40444</v>
      </c>
      <c r="B851" s="164" t="s">
        <v>578</v>
      </c>
      <c r="C851" s="164" t="s">
        <v>912</v>
      </c>
      <c r="D851" s="166" t="s">
        <v>1262</v>
      </c>
      <c r="E851" s="163"/>
      <c r="F851" s="105"/>
      <c r="G851" s="105"/>
      <c r="H851" s="105"/>
      <c r="I851" s="105"/>
      <c r="J851" s="105"/>
      <c r="K851" s="105"/>
      <c r="L851" s="105"/>
      <c r="M851" s="105"/>
      <c r="N851" s="105"/>
      <c r="O851" s="105"/>
      <c r="P851" s="105"/>
      <c r="Q851" s="105"/>
      <c r="R851" s="105"/>
      <c r="S851" s="105"/>
      <c r="T851" s="106">
        <v>73</v>
      </c>
      <c r="U851" s="130" t="s">
        <v>1815</v>
      </c>
      <c r="V851" s="1">
        <v>40508</v>
      </c>
      <c r="W851" s="68">
        <f t="shared" si="212"/>
        <v>19009200</v>
      </c>
      <c r="X851" s="68">
        <f t="shared" si="213"/>
        <v>15810000</v>
      </c>
      <c r="Y851" s="68">
        <f t="shared" si="214"/>
        <v>0</v>
      </c>
      <c r="Z851" s="68">
        <f t="shared" si="215"/>
        <v>0</v>
      </c>
      <c r="AA851" s="68"/>
      <c r="AB851" s="68">
        <v>0</v>
      </c>
      <c r="AC851" s="69">
        <f t="shared" si="216"/>
        <v>34819200</v>
      </c>
      <c r="AD851" s="70">
        <v>0</v>
      </c>
      <c r="AE851" s="63">
        <v>40478</v>
      </c>
      <c r="AF851" s="72">
        <v>59457</v>
      </c>
      <c r="AG851" s="63" t="s">
        <v>954</v>
      </c>
      <c r="AH851" s="23" t="s">
        <v>955</v>
      </c>
      <c r="AI851" s="60">
        <v>24642</v>
      </c>
      <c r="AJ851" s="133" t="s">
        <v>415</v>
      </c>
      <c r="AK851" s="121" t="s">
        <v>1816</v>
      </c>
      <c r="AL851" s="107"/>
      <c r="AM851" s="108"/>
      <c r="AN851" s="109"/>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c r="BJ851" s="108">
        <v>186</v>
      </c>
      <c r="BK851" s="108">
        <f>186*25500</f>
        <v>4743000</v>
      </c>
      <c r="BL851" s="108"/>
      <c r="BM851" s="108"/>
      <c r="BN851" s="108"/>
      <c r="BO851" s="108"/>
      <c r="BP851" s="108"/>
      <c r="BQ851" s="108"/>
      <c r="BR851" s="108"/>
      <c r="BS851" s="108"/>
      <c r="BT851" s="108"/>
      <c r="BU851" s="108"/>
      <c r="BV851" s="108"/>
      <c r="BW851" s="108"/>
      <c r="BX851" s="108"/>
      <c r="BY851" s="108"/>
      <c r="BZ851" s="108"/>
      <c r="CA851" s="108"/>
      <c r="CB851" s="108"/>
      <c r="CC851" s="108"/>
      <c r="CD851" s="108"/>
      <c r="CE851" s="108"/>
      <c r="CF851" s="108"/>
      <c r="CG851" s="108"/>
      <c r="CH851" s="108"/>
      <c r="CI851" s="108"/>
      <c r="CJ851" s="108"/>
      <c r="CK851" s="108"/>
      <c r="CL851" s="108"/>
      <c r="CM851" s="108"/>
      <c r="CN851" s="110">
        <v>186</v>
      </c>
      <c r="CO851" s="111">
        <f>186*37000</f>
        <v>6882000</v>
      </c>
      <c r="CP851" s="110">
        <v>186</v>
      </c>
      <c r="CQ851" s="111">
        <f>186*39700</f>
        <v>7384200</v>
      </c>
      <c r="CR851" s="110"/>
      <c r="CS851" s="111"/>
      <c r="CT851" s="112">
        <f t="shared" si="217"/>
        <v>19009200</v>
      </c>
      <c r="CU851" s="113"/>
      <c r="CV851" s="114"/>
      <c r="CW851" s="115">
        <v>186</v>
      </c>
      <c r="CX851" s="116">
        <f>186*85000</f>
        <v>15810000</v>
      </c>
      <c r="CY851" s="117"/>
      <c r="CZ851" s="116"/>
      <c r="DA851" s="113"/>
      <c r="DB851" s="114"/>
      <c r="DC851" s="64"/>
      <c r="DD851" s="118"/>
    </row>
    <row r="852" spans="1:108" s="119" customFormat="1" ht="45" outlineLevel="2">
      <c r="A852" s="178">
        <v>40447</v>
      </c>
      <c r="B852" s="164" t="s">
        <v>578</v>
      </c>
      <c r="C852" s="164" t="s">
        <v>993</v>
      </c>
      <c r="D852" s="166" t="s">
        <v>1262</v>
      </c>
      <c r="E852" s="163"/>
      <c r="F852" s="105"/>
      <c r="G852" s="105"/>
      <c r="H852" s="105">
        <v>842</v>
      </c>
      <c r="I852" s="105">
        <v>153</v>
      </c>
      <c r="J852" s="105"/>
      <c r="K852" s="105"/>
      <c r="L852" s="105"/>
      <c r="M852" s="105"/>
      <c r="N852" s="105"/>
      <c r="O852" s="105"/>
      <c r="P852" s="105"/>
      <c r="Q852" s="105"/>
      <c r="R852" s="105"/>
      <c r="S852" s="105"/>
      <c r="T852" s="106"/>
      <c r="U852" s="130"/>
      <c r="V852" s="1">
        <v>40508</v>
      </c>
      <c r="W852" s="68">
        <f t="shared" si="212"/>
        <v>5746500</v>
      </c>
      <c r="X852" s="68">
        <f t="shared" si="213"/>
        <v>3825000</v>
      </c>
      <c r="Y852" s="68">
        <f t="shared" si="214"/>
        <v>0</v>
      </c>
      <c r="Z852" s="68">
        <f t="shared" si="215"/>
        <v>0</v>
      </c>
      <c r="AA852" s="68"/>
      <c r="AB852" s="68">
        <v>0</v>
      </c>
      <c r="AC852" s="69">
        <f t="shared" si="216"/>
        <v>9571500</v>
      </c>
      <c r="AD852" s="70">
        <v>0</v>
      </c>
      <c r="AE852" s="63">
        <v>40484</v>
      </c>
      <c r="AF852" s="72">
        <v>59457</v>
      </c>
      <c r="AG852" s="63" t="s">
        <v>954</v>
      </c>
      <c r="AH852" s="23" t="s">
        <v>955</v>
      </c>
      <c r="AI852" s="83">
        <v>24642</v>
      </c>
      <c r="AJ852" s="133" t="s">
        <v>415</v>
      </c>
      <c r="AK852" s="121" t="s">
        <v>994</v>
      </c>
      <c r="AL852" s="107"/>
      <c r="AM852" s="108"/>
      <c r="AN852" s="109"/>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c r="BJ852" s="108">
        <v>90</v>
      </c>
      <c r="BK852" s="108">
        <f>90*25500</f>
        <v>2295000</v>
      </c>
      <c r="BL852" s="108"/>
      <c r="BM852" s="108"/>
      <c r="BN852" s="108"/>
      <c r="BO852" s="108"/>
      <c r="BP852" s="108"/>
      <c r="BQ852" s="108"/>
      <c r="BR852" s="108"/>
      <c r="BS852" s="108"/>
      <c r="BT852" s="108"/>
      <c r="BU852" s="108"/>
      <c r="BV852" s="108"/>
      <c r="BW852" s="108"/>
      <c r="BX852" s="108"/>
      <c r="BY852" s="108"/>
      <c r="BZ852" s="108"/>
      <c r="CA852" s="108"/>
      <c r="CB852" s="108"/>
      <c r="CC852" s="108"/>
      <c r="CD852" s="108"/>
      <c r="CE852" s="108"/>
      <c r="CF852" s="108"/>
      <c r="CG852" s="108"/>
      <c r="CH852" s="108"/>
      <c r="CI852" s="108"/>
      <c r="CJ852" s="108"/>
      <c r="CK852" s="108"/>
      <c r="CL852" s="108"/>
      <c r="CM852" s="108"/>
      <c r="CN852" s="110">
        <v>45</v>
      </c>
      <c r="CO852" s="111">
        <f>45*37000</f>
        <v>1665000</v>
      </c>
      <c r="CP852" s="110">
        <v>45</v>
      </c>
      <c r="CQ852" s="111">
        <f>45*39700</f>
        <v>1786500</v>
      </c>
      <c r="CR852" s="110"/>
      <c r="CS852" s="111"/>
      <c r="CT852" s="112">
        <f t="shared" si="217"/>
        <v>5746500</v>
      </c>
      <c r="CU852" s="113"/>
      <c r="CV852" s="114"/>
      <c r="CW852" s="115">
        <v>45</v>
      </c>
      <c r="CX852" s="116">
        <f>45*85000</f>
        <v>3825000</v>
      </c>
      <c r="CY852" s="117"/>
      <c r="CZ852" s="116"/>
      <c r="DA852" s="113"/>
      <c r="DB852" s="114"/>
      <c r="DC852" s="64"/>
      <c r="DD852" s="118"/>
    </row>
    <row r="853" spans="1:108" s="119" customFormat="1" ht="84" outlineLevel="2">
      <c r="A853" s="178">
        <v>40449</v>
      </c>
      <c r="B853" s="164" t="s">
        <v>578</v>
      </c>
      <c r="C853" s="164" t="s">
        <v>912</v>
      </c>
      <c r="D853" s="165" t="s">
        <v>1182</v>
      </c>
      <c r="E853" s="163"/>
      <c r="F853" s="105"/>
      <c r="G853" s="105"/>
      <c r="H853" s="105"/>
      <c r="I853" s="105"/>
      <c r="J853" s="105"/>
      <c r="K853" s="105"/>
      <c r="L853" s="105">
        <v>6</v>
      </c>
      <c r="M853" s="105"/>
      <c r="N853" s="105"/>
      <c r="O853" s="105"/>
      <c r="P853" s="105"/>
      <c r="Q853" s="105"/>
      <c r="R853" s="105"/>
      <c r="S853" s="105"/>
      <c r="T853" s="106"/>
      <c r="U853" s="130" t="s">
        <v>414</v>
      </c>
      <c r="V853" s="1"/>
      <c r="W853" s="68">
        <f t="shared" si="212"/>
        <v>0</v>
      </c>
      <c r="X853" s="68">
        <f t="shared" si="213"/>
        <v>0</v>
      </c>
      <c r="Y853" s="68">
        <f t="shared" si="214"/>
        <v>0</v>
      </c>
      <c r="Z853" s="68">
        <f t="shared" si="215"/>
        <v>0</v>
      </c>
      <c r="AA853" s="68"/>
      <c r="AB853" s="68">
        <v>0</v>
      </c>
      <c r="AC853" s="69">
        <f t="shared" si="216"/>
        <v>0</v>
      </c>
      <c r="AD853" s="70">
        <v>0</v>
      </c>
      <c r="AE853" s="63">
        <v>40464</v>
      </c>
      <c r="AF853" s="72">
        <v>55685</v>
      </c>
      <c r="AG853" s="63" t="s">
        <v>938</v>
      </c>
      <c r="AH853" s="23" t="s">
        <v>939</v>
      </c>
      <c r="AI853" s="60"/>
      <c r="AJ853" s="124" t="s">
        <v>1608</v>
      </c>
      <c r="AK853" s="121" t="s">
        <v>1814</v>
      </c>
      <c r="AL853" s="107"/>
      <c r="AM853" s="108"/>
      <c r="AN853" s="109"/>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c r="BJ853" s="108"/>
      <c r="BK853" s="108"/>
      <c r="BL853" s="108"/>
      <c r="BM853" s="108"/>
      <c r="BN853" s="108"/>
      <c r="BO853" s="108"/>
      <c r="BP853" s="108"/>
      <c r="BQ853" s="108"/>
      <c r="BR853" s="108"/>
      <c r="BS853" s="108"/>
      <c r="BT853" s="108"/>
      <c r="BU853" s="108"/>
      <c r="BV853" s="108"/>
      <c r="BW853" s="108"/>
      <c r="BX853" s="108"/>
      <c r="BY853" s="108"/>
      <c r="BZ853" s="108"/>
      <c r="CA853" s="108"/>
      <c r="CB853" s="108"/>
      <c r="CC853" s="108"/>
      <c r="CD853" s="108"/>
      <c r="CE853" s="108"/>
      <c r="CF853" s="108"/>
      <c r="CG853" s="108"/>
      <c r="CH853" s="108"/>
      <c r="CI853" s="108"/>
      <c r="CJ853" s="108"/>
      <c r="CK853" s="108"/>
      <c r="CL853" s="108"/>
      <c r="CM853" s="108"/>
      <c r="CN853" s="110"/>
      <c r="CO853" s="111"/>
      <c r="CP853" s="110"/>
      <c r="CQ853" s="111"/>
      <c r="CR853" s="110"/>
      <c r="CS853" s="111"/>
      <c r="CT853" s="112">
        <f t="shared" si="217"/>
        <v>0</v>
      </c>
      <c r="CU853" s="113"/>
      <c r="CV853" s="114"/>
      <c r="CW853" s="115"/>
      <c r="CX853" s="116"/>
      <c r="CY853" s="117"/>
      <c r="CZ853" s="116"/>
      <c r="DA853" s="113"/>
      <c r="DB853" s="114"/>
      <c r="DC853" s="64"/>
      <c r="DD853" s="118"/>
    </row>
    <row r="854" spans="1:108" s="119" customFormat="1" ht="48" outlineLevel="2">
      <c r="A854" s="178">
        <v>40469</v>
      </c>
      <c r="B854" s="164" t="s">
        <v>578</v>
      </c>
      <c r="C854" s="164" t="s">
        <v>1999</v>
      </c>
      <c r="D854" s="166" t="s">
        <v>1262</v>
      </c>
      <c r="E854" s="163"/>
      <c r="F854" s="105"/>
      <c r="G854" s="105"/>
      <c r="H854" s="105">
        <v>105</v>
      </c>
      <c r="I854" s="105">
        <v>21</v>
      </c>
      <c r="J854" s="105"/>
      <c r="K854" s="105"/>
      <c r="L854" s="105"/>
      <c r="M854" s="105"/>
      <c r="N854" s="105"/>
      <c r="O854" s="105"/>
      <c r="P854" s="105"/>
      <c r="Q854" s="105"/>
      <c r="R854" s="105"/>
      <c r="S854" s="105"/>
      <c r="T854" s="106"/>
      <c r="U854" s="130"/>
      <c r="V854" s="1"/>
      <c r="W854" s="68">
        <f t="shared" si="212"/>
        <v>0</v>
      </c>
      <c r="X854" s="68">
        <f t="shared" si="213"/>
        <v>0</v>
      </c>
      <c r="Y854" s="68">
        <f t="shared" si="214"/>
        <v>0</v>
      </c>
      <c r="Z854" s="68">
        <f t="shared" si="215"/>
        <v>0</v>
      </c>
      <c r="AA854" s="68"/>
      <c r="AB854" s="68">
        <v>0</v>
      </c>
      <c r="AC854" s="69">
        <f t="shared" si="216"/>
        <v>0</v>
      </c>
      <c r="AD854" s="70">
        <v>0</v>
      </c>
      <c r="AE854" s="63">
        <v>40470</v>
      </c>
      <c r="AF854" s="72"/>
      <c r="AG854" s="63" t="s">
        <v>938</v>
      </c>
      <c r="AH854" s="23" t="s">
        <v>939</v>
      </c>
      <c r="AI854" s="60"/>
      <c r="AJ854" s="124" t="s">
        <v>1608</v>
      </c>
      <c r="AK854" s="121" t="s">
        <v>2312</v>
      </c>
      <c r="AL854" s="107"/>
      <c r="AM854" s="108"/>
      <c r="AN854" s="109"/>
      <c r="AO854" s="108"/>
      <c r="AP854" s="108"/>
      <c r="AQ854" s="108"/>
      <c r="AR854" s="108"/>
      <c r="AS854" s="108"/>
      <c r="AT854" s="108"/>
      <c r="AU854" s="108"/>
      <c r="AV854" s="108"/>
      <c r="AW854" s="108"/>
      <c r="AX854" s="108"/>
      <c r="AY854" s="108"/>
      <c r="AZ854" s="108"/>
      <c r="BA854" s="108"/>
      <c r="BB854" s="108"/>
      <c r="BC854" s="108"/>
      <c r="BD854" s="108"/>
      <c r="BE854" s="108"/>
      <c r="BF854" s="108"/>
      <c r="BG854" s="108"/>
      <c r="BH854" s="108"/>
      <c r="BI854" s="108"/>
      <c r="BJ854" s="108"/>
      <c r="BK854" s="108"/>
      <c r="BL854" s="108"/>
      <c r="BM854" s="108"/>
      <c r="BN854" s="108"/>
      <c r="BO854" s="108"/>
      <c r="BP854" s="108"/>
      <c r="BQ854" s="108"/>
      <c r="BR854" s="108"/>
      <c r="BS854" s="108"/>
      <c r="BT854" s="108"/>
      <c r="BU854" s="108"/>
      <c r="BV854" s="108"/>
      <c r="BW854" s="108"/>
      <c r="BX854" s="108"/>
      <c r="BY854" s="108"/>
      <c r="BZ854" s="108"/>
      <c r="CA854" s="108"/>
      <c r="CB854" s="108"/>
      <c r="CC854" s="108"/>
      <c r="CD854" s="108"/>
      <c r="CE854" s="108"/>
      <c r="CF854" s="108"/>
      <c r="CG854" s="108"/>
      <c r="CH854" s="108"/>
      <c r="CI854" s="108"/>
      <c r="CJ854" s="108"/>
      <c r="CK854" s="108"/>
      <c r="CL854" s="108"/>
      <c r="CM854" s="108"/>
      <c r="CN854" s="110"/>
      <c r="CO854" s="111"/>
      <c r="CP854" s="110"/>
      <c r="CQ854" s="111"/>
      <c r="CR854" s="110"/>
      <c r="CS854" s="111"/>
      <c r="CT854" s="112">
        <f t="shared" si="217"/>
        <v>0</v>
      </c>
      <c r="CU854" s="113"/>
      <c r="CV854" s="114"/>
      <c r="CW854" s="115"/>
      <c r="CX854" s="116"/>
      <c r="CY854" s="117"/>
      <c r="CZ854" s="116"/>
      <c r="DA854" s="113"/>
      <c r="DB854" s="114"/>
      <c r="DC854" s="64"/>
      <c r="DD854" s="118"/>
    </row>
    <row r="855" spans="1:108" s="119" customFormat="1" ht="36" outlineLevel="2">
      <c r="A855" s="178">
        <v>40481</v>
      </c>
      <c r="B855" s="164" t="s">
        <v>578</v>
      </c>
      <c r="C855" s="164" t="s">
        <v>2241</v>
      </c>
      <c r="D855" s="166" t="s">
        <v>1262</v>
      </c>
      <c r="E855" s="163"/>
      <c r="F855" s="105"/>
      <c r="G855" s="105"/>
      <c r="H855" s="105">
        <f>3135-849-35</f>
        <v>2251</v>
      </c>
      <c r="I855" s="131">
        <f>570-178-7</f>
        <v>385</v>
      </c>
      <c r="J855" s="105"/>
      <c r="K855" s="105">
        <v>385</v>
      </c>
      <c r="L855" s="105"/>
      <c r="M855" s="105"/>
      <c r="N855" s="105"/>
      <c r="O855" s="105"/>
      <c r="P855" s="105"/>
      <c r="Q855" s="105"/>
      <c r="R855" s="105"/>
      <c r="S855" s="105"/>
      <c r="T855" s="106"/>
      <c r="U855" s="130"/>
      <c r="V855" s="1"/>
      <c r="W855" s="68">
        <f t="shared" si="212"/>
        <v>0</v>
      </c>
      <c r="X855" s="68">
        <f t="shared" si="213"/>
        <v>0</v>
      </c>
      <c r="Y855" s="68">
        <f t="shared" si="214"/>
        <v>0</v>
      </c>
      <c r="Z855" s="68">
        <f t="shared" si="215"/>
        <v>0</v>
      </c>
      <c r="AA855" s="68"/>
      <c r="AB855" s="68">
        <v>0</v>
      </c>
      <c r="AC855" s="69">
        <f t="shared" si="216"/>
        <v>0</v>
      </c>
      <c r="AD855" s="70">
        <v>0</v>
      </c>
      <c r="AE855" s="63">
        <v>40482</v>
      </c>
      <c r="AF855" s="72"/>
      <c r="AG855" s="63" t="s">
        <v>938</v>
      </c>
      <c r="AH855" s="23" t="s">
        <v>939</v>
      </c>
      <c r="AI855" s="60"/>
      <c r="AJ855" s="124" t="s">
        <v>1608</v>
      </c>
      <c r="AK855" s="121" t="s">
        <v>412</v>
      </c>
      <c r="AL855" s="107"/>
      <c r="AM855" s="108"/>
      <c r="AN855" s="109"/>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c r="BJ855" s="108"/>
      <c r="BK855" s="108"/>
      <c r="BL855" s="108"/>
      <c r="BM855" s="108"/>
      <c r="BN855" s="108"/>
      <c r="BO855" s="108"/>
      <c r="BP855" s="108"/>
      <c r="BQ855" s="108"/>
      <c r="BR855" s="108"/>
      <c r="BS855" s="108"/>
      <c r="BT855" s="108"/>
      <c r="BU855" s="108"/>
      <c r="BV855" s="108"/>
      <c r="BW855" s="108"/>
      <c r="BX855" s="108"/>
      <c r="BY855" s="108"/>
      <c r="BZ855" s="108"/>
      <c r="CA855" s="108"/>
      <c r="CB855" s="108"/>
      <c r="CC855" s="108"/>
      <c r="CD855" s="108"/>
      <c r="CE855" s="108"/>
      <c r="CF855" s="108"/>
      <c r="CG855" s="108"/>
      <c r="CH855" s="108"/>
      <c r="CI855" s="108"/>
      <c r="CJ855" s="108"/>
      <c r="CK855" s="108"/>
      <c r="CL855" s="108"/>
      <c r="CM855" s="108"/>
      <c r="CN855" s="110"/>
      <c r="CO855" s="111"/>
      <c r="CP855" s="110"/>
      <c r="CQ855" s="111"/>
      <c r="CR855" s="110"/>
      <c r="CS855" s="111"/>
      <c r="CT855" s="112">
        <f t="shared" si="217"/>
        <v>0</v>
      </c>
      <c r="CU855" s="113"/>
      <c r="CV855" s="114"/>
      <c r="CW855" s="115"/>
      <c r="CX855" s="116"/>
      <c r="CY855" s="117"/>
      <c r="CZ855" s="116"/>
      <c r="DA855" s="113"/>
      <c r="DB855" s="114"/>
      <c r="DC855" s="64"/>
      <c r="DD855" s="118"/>
    </row>
    <row r="856" spans="1:108" s="119" customFormat="1" ht="24" outlineLevel="2">
      <c r="A856" s="178">
        <v>40481</v>
      </c>
      <c r="B856" s="164" t="s">
        <v>578</v>
      </c>
      <c r="C856" s="164" t="s">
        <v>1999</v>
      </c>
      <c r="D856" s="166" t="s">
        <v>1262</v>
      </c>
      <c r="E856" s="163"/>
      <c r="F856" s="105"/>
      <c r="G856" s="105"/>
      <c r="H856" s="105">
        <f>751*5</f>
        <v>3755</v>
      </c>
      <c r="I856" s="105">
        <v>751</v>
      </c>
      <c r="J856" s="105"/>
      <c r="K856" s="105"/>
      <c r="L856" s="105"/>
      <c r="M856" s="105"/>
      <c r="N856" s="105"/>
      <c r="O856" s="105"/>
      <c r="P856" s="105"/>
      <c r="Q856" s="105"/>
      <c r="R856" s="105"/>
      <c r="S856" s="105"/>
      <c r="T856" s="106"/>
      <c r="U856" s="130"/>
      <c r="V856" s="1"/>
      <c r="W856" s="68">
        <f t="shared" si="212"/>
        <v>0</v>
      </c>
      <c r="X856" s="68">
        <f t="shared" si="213"/>
        <v>0</v>
      </c>
      <c r="Y856" s="68">
        <f t="shared" si="214"/>
        <v>0</v>
      </c>
      <c r="Z856" s="68">
        <f t="shared" si="215"/>
        <v>0</v>
      </c>
      <c r="AA856" s="68"/>
      <c r="AB856" s="68">
        <v>0</v>
      </c>
      <c r="AC856" s="69">
        <f t="shared" si="216"/>
        <v>0</v>
      </c>
      <c r="AD856" s="70">
        <v>0</v>
      </c>
      <c r="AE856" s="63">
        <v>40482</v>
      </c>
      <c r="AF856" s="72"/>
      <c r="AG856" s="63" t="s">
        <v>938</v>
      </c>
      <c r="AH856" s="23" t="s">
        <v>939</v>
      </c>
      <c r="AI856" s="60"/>
      <c r="AJ856" s="124" t="s">
        <v>1608</v>
      </c>
      <c r="AK856" s="121" t="s">
        <v>2361</v>
      </c>
      <c r="AL856" s="107"/>
      <c r="AM856" s="108"/>
      <c r="AN856" s="109"/>
      <c r="AO856" s="108"/>
      <c r="AP856" s="108"/>
      <c r="AQ856" s="108"/>
      <c r="AR856" s="108"/>
      <c r="AS856" s="108"/>
      <c r="AT856" s="108"/>
      <c r="AU856" s="108"/>
      <c r="AV856" s="108"/>
      <c r="AW856" s="108"/>
      <c r="AX856" s="108"/>
      <c r="AY856" s="108"/>
      <c r="AZ856" s="108"/>
      <c r="BA856" s="108"/>
      <c r="BB856" s="108"/>
      <c r="BC856" s="108"/>
      <c r="BD856" s="108"/>
      <c r="BE856" s="108"/>
      <c r="BF856" s="108"/>
      <c r="BG856" s="108"/>
      <c r="BH856" s="108"/>
      <c r="BI856" s="108"/>
      <c r="BJ856" s="108"/>
      <c r="BK856" s="108"/>
      <c r="BL856" s="108"/>
      <c r="BM856" s="108"/>
      <c r="BN856" s="108"/>
      <c r="BO856" s="108"/>
      <c r="BP856" s="108"/>
      <c r="BQ856" s="108"/>
      <c r="BR856" s="108"/>
      <c r="BS856" s="108"/>
      <c r="BT856" s="108"/>
      <c r="BU856" s="108"/>
      <c r="BV856" s="108"/>
      <c r="BW856" s="108"/>
      <c r="BX856" s="108"/>
      <c r="BY856" s="108"/>
      <c r="BZ856" s="108"/>
      <c r="CA856" s="108"/>
      <c r="CB856" s="108"/>
      <c r="CC856" s="108"/>
      <c r="CD856" s="108"/>
      <c r="CE856" s="108"/>
      <c r="CF856" s="108"/>
      <c r="CG856" s="108"/>
      <c r="CH856" s="108"/>
      <c r="CI856" s="108"/>
      <c r="CJ856" s="108"/>
      <c r="CK856" s="108"/>
      <c r="CL856" s="108"/>
      <c r="CM856" s="108"/>
      <c r="CN856" s="110"/>
      <c r="CO856" s="111"/>
      <c r="CP856" s="110"/>
      <c r="CQ856" s="111"/>
      <c r="CR856" s="110"/>
      <c r="CS856" s="111"/>
      <c r="CT856" s="112">
        <f t="shared" si="217"/>
        <v>0</v>
      </c>
      <c r="CU856" s="113"/>
      <c r="CV856" s="114"/>
      <c r="CW856" s="115"/>
      <c r="CX856" s="116"/>
      <c r="CY856" s="117"/>
      <c r="CZ856" s="116"/>
      <c r="DA856" s="113"/>
      <c r="DB856" s="114"/>
      <c r="DC856" s="64"/>
      <c r="DD856" s="118"/>
    </row>
    <row r="857" spans="1:108" s="119" customFormat="1" outlineLevel="2">
      <c r="A857" s="178">
        <v>40483</v>
      </c>
      <c r="B857" s="164" t="s">
        <v>578</v>
      </c>
      <c r="C857" s="164" t="s">
        <v>0</v>
      </c>
      <c r="D857" s="166" t="s">
        <v>1262</v>
      </c>
      <c r="E857" s="163"/>
      <c r="F857" s="105"/>
      <c r="G857" s="105"/>
      <c r="H857" s="105">
        <v>495</v>
      </c>
      <c r="I857" s="105">
        <v>90</v>
      </c>
      <c r="J857" s="105"/>
      <c r="K857" s="105">
        <v>90</v>
      </c>
      <c r="L857" s="105"/>
      <c r="M857" s="105"/>
      <c r="N857" s="105"/>
      <c r="O857" s="105"/>
      <c r="P857" s="105"/>
      <c r="Q857" s="105"/>
      <c r="R857" s="105"/>
      <c r="S857" s="105"/>
      <c r="T857" s="106"/>
      <c r="U857" s="130"/>
      <c r="V857" s="1"/>
      <c r="W857" s="68">
        <f t="shared" si="212"/>
        <v>0</v>
      </c>
      <c r="X857" s="68">
        <f t="shared" si="213"/>
        <v>0</v>
      </c>
      <c r="Y857" s="68">
        <f t="shared" si="214"/>
        <v>0</v>
      </c>
      <c r="Z857" s="68">
        <f t="shared" si="215"/>
        <v>0</v>
      </c>
      <c r="AA857" s="68"/>
      <c r="AB857" s="68">
        <v>0</v>
      </c>
      <c r="AC857" s="69">
        <f t="shared" si="216"/>
        <v>0</v>
      </c>
      <c r="AD857" s="70">
        <v>0</v>
      </c>
      <c r="AE857" s="63"/>
      <c r="AF857" s="72"/>
      <c r="AG857" s="63"/>
      <c r="AH857" s="23"/>
      <c r="AI857" s="60"/>
      <c r="AJ857" s="124"/>
      <c r="AK857" s="121" t="s">
        <v>1612</v>
      </c>
      <c r="AL857" s="107"/>
      <c r="AM857" s="108"/>
      <c r="AN857" s="109"/>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c r="BJ857" s="108"/>
      <c r="BK857" s="108"/>
      <c r="BL857" s="108"/>
      <c r="BM857" s="108"/>
      <c r="BN857" s="108"/>
      <c r="BO857" s="108"/>
      <c r="BP857" s="108"/>
      <c r="BQ857" s="108"/>
      <c r="BR857" s="108"/>
      <c r="BS857" s="108"/>
      <c r="BT857" s="108"/>
      <c r="BU857" s="108"/>
      <c r="BV857" s="108"/>
      <c r="BW857" s="108"/>
      <c r="BX857" s="108"/>
      <c r="BY857" s="108"/>
      <c r="BZ857" s="108"/>
      <c r="CA857" s="108"/>
      <c r="CB857" s="108"/>
      <c r="CC857" s="108"/>
      <c r="CD857" s="108"/>
      <c r="CE857" s="108"/>
      <c r="CF857" s="108"/>
      <c r="CG857" s="108"/>
      <c r="CH857" s="108"/>
      <c r="CI857" s="108"/>
      <c r="CJ857" s="108"/>
      <c r="CK857" s="108"/>
      <c r="CL857" s="108"/>
      <c r="CM857" s="108"/>
      <c r="CN857" s="110"/>
      <c r="CO857" s="111"/>
      <c r="CP857" s="110"/>
      <c r="CQ857" s="111"/>
      <c r="CR857" s="110"/>
      <c r="CS857" s="111"/>
      <c r="CT857" s="112">
        <f t="shared" si="217"/>
        <v>0</v>
      </c>
      <c r="CU857" s="113"/>
      <c r="CV857" s="114"/>
      <c r="CW857" s="115"/>
      <c r="CX857" s="116"/>
      <c r="CY857" s="117"/>
      <c r="CZ857" s="116"/>
      <c r="DA857" s="113"/>
      <c r="DB857" s="114"/>
      <c r="DC857" s="64"/>
      <c r="DD857" s="118"/>
    </row>
    <row r="858" spans="1:108" s="119" customFormat="1" ht="36" outlineLevel="2">
      <c r="A858" s="178">
        <v>40512</v>
      </c>
      <c r="B858" s="164" t="s">
        <v>578</v>
      </c>
      <c r="C858" s="164" t="s">
        <v>1872</v>
      </c>
      <c r="D858" s="166" t="s">
        <v>1262</v>
      </c>
      <c r="E858" s="163"/>
      <c r="F858" s="105"/>
      <c r="G858" s="105"/>
      <c r="H858" s="105">
        <v>2485</v>
      </c>
      <c r="I858" s="105">
        <v>497</v>
      </c>
      <c r="J858" s="105"/>
      <c r="K858" s="105"/>
      <c r="L858" s="105"/>
      <c r="M858" s="105"/>
      <c r="N858" s="105"/>
      <c r="O858" s="105"/>
      <c r="P858" s="105"/>
      <c r="Q858" s="105"/>
      <c r="R858" s="105"/>
      <c r="S858" s="105"/>
      <c r="T858" s="106"/>
      <c r="U858" s="130"/>
      <c r="V858" s="1"/>
      <c r="W858" s="68">
        <f t="shared" si="212"/>
        <v>0</v>
      </c>
      <c r="X858" s="68">
        <f t="shared" si="213"/>
        <v>0</v>
      </c>
      <c r="Y858" s="68">
        <f t="shared" si="214"/>
        <v>0</v>
      </c>
      <c r="Z858" s="68">
        <f t="shared" si="215"/>
        <v>0</v>
      </c>
      <c r="AA858" s="68"/>
      <c r="AB858" s="68">
        <v>0</v>
      </c>
      <c r="AC858" s="69">
        <f t="shared" si="216"/>
        <v>0</v>
      </c>
      <c r="AD858" s="70">
        <v>0</v>
      </c>
      <c r="AE858" s="63"/>
      <c r="AF858" s="72"/>
      <c r="AG858" s="63"/>
      <c r="AH858" s="23"/>
      <c r="AI858" s="60"/>
      <c r="AJ858" s="124"/>
      <c r="AK858" s="121" t="s">
        <v>2126</v>
      </c>
      <c r="AL858" s="107"/>
      <c r="AM858" s="108"/>
      <c r="AN858" s="109"/>
      <c r="AO858" s="108"/>
      <c r="AP858" s="108"/>
      <c r="AQ858" s="108"/>
      <c r="AR858" s="108"/>
      <c r="AS858" s="108"/>
      <c r="AT858" s="108"/>
      <c r="AU858" s="108"/>
      <c r="AV858" s="108"/>
      <c r="AW858" s="108"/>
      <c r="AX858" s="108"/>
      <c r="AY858" s="108"/>
      <c r="AZ858" s="108"/>
      <c r="BA858" s="108"/>
      <c r="BB858" s="108"/>
      <c r="BC858" s="108"/>
      <c r="BD858" s="108"/>
      <c r="BE858" s="108"/>
      <c r="BF858" s="108"/>
      <c r="BG858" s="108"/>
      <c r="BH858" s="108"/>
      <c r="BI858" s="108"/>
      <c r="BJ858" s="108"/>
      <c r="BK858" s="108"/>
      <c r="BL858" s="108"/>
      <c r="BM858" s="108"/>
      <c r="BN858" s="108"/>
      <c r="BO858" s="108"/>
      <c r="BP858" s="108"/>
      <c r="BQ858" s="108"/>
      <c r="BR858" s="108"/>
      <c r="BS858" s="108"/>
      <c r="BT858" s="108"/>
      <c r="BU858" s="108"/>
      <c r="BV858" s="108"/>
      <c r="BW858" s="108"/>
      <c r="BX858" s="108"/>
      <c r="BY858" s="108"/>
      <c r="BZ858" s="108"/>
      <c r="CA858" s="108"/>
      <c r="CB858" s="108"/>
      <c r="CC858" s="108"/>
      <c r="CD858" s="108"/>
      <c r="CE858" s="108"/>
      <c r="CF858" s="108"/>
      <c r="CG858" s="108"/>
      <c r="CH858" s="108"/>
      <c r="CI858" s="108"/>
      <c r="CJ858" s="108"/>
      <c r="CK858" s="108"/>
      <c r="CL858" s="108"/>
      <c r="CM858" s="108"/>
      <c r="CN858" s="110"/>
      <c r="CO858" s="111"/>
      <c r="CP858" s="110"/>
      <c r="CQ858" s="111"/>
      <c r="CR858" s="110"/>
      <c r="CS858" s="111"/>
      <c r="CT858" s="112">
        <f t="shared" si="217"/>
        <v>0</v>
      </c>
      <c r="CU858" s="113"/>
      <c r="CV858" s="114"/>
      <c r="CW858" s="115"/>
      <c r="CX858" s="116"/>
      <c r="CY858" s="117"/>
      <c r="CZ858" s="116"/>
      <c r="DA858" s="113"/>
      <c r="DB858" s="114"/>
      <c r="DC858" s="64"/>
      <c r="DD858" s="118"/>
    </row>
    <row r="859" spans="1:108" s="119" customFormat="1" ht="24" outlineLevel="2">
      <c r="A859" s="178">
        <v>40520</v>
      </c>
      <c r="B859" s="164" t="s">
        <v>578</v>
      </c>
      <c r="C859" s="164" t="s">
        <v>1999</v>
      </c>
      <c r="D859" s="166" t="s">
        <v>1262</v>
      </c>
      <c r="E859" s="163">
        <v>2</v>
      </c>
      <c r="F859" s="105"/>
      <c r="G859" s="105"/>
      <c r="H859" s="105"/>
      <c r="I859" s="105"/>
      <c r="J859" s="105"/>
      <c r="K859" s="105"/>
      <c r="L859" s="105"/>
      <c r="M859" s="105"/>
      <c r="N859" s="105"/>
      <c r="O859" s="105"/>
      <c r="P859" s="105"/>
      <c r="Q859" s="105"/>
      <c r="R859" s="105"/>
      <c r="S859" s="105"/>
      <c r="T859" s="106"/>
      <c r="U859" s="130"/>
      <c r="V859" s="1"/>
      <c r="W859" s="68">
        <f t="shared" si="212"/>
        <v>0</v>
      </c>
      <c r="X859" s="68">
        <f t="shared" si="213"/>
        <v>0</v>
      </c>
      <c r="Y859" s="68">
        <f t="shared" si="214"/>
        <v>0</v>
      </c>
      <c r="Z859" s="68">
        <f t="shared" si="215"/>
        <v>0</v>
      </c>
      <c r="AA859" s="68"/>
      <c r="AB859" s="68">
        <v>0</v>
      </c>
      <c r="AC859" s="69">
        <f t="shared" si="216"/>
        <v>0</v>
      </c>
      <c r="AD859" s="70">
        <v>0</v>
      </c>
      <c r="AE859" s="63"/>
      <c r="AF859" s="72"/>
      <c r="AG859" s="63"/>
      <c r="AH859" s="23"/>
      <c r="AI859" s="60"/>
      <c r="AJ859" s="124"/>
      <c r="AK859" s="121" t="s">
        <v>2293</v>
      </c>
      <c r="AL859" s="107"/>
      <c r="AM859" s="108"/>
      <c r="AN859" s="109"/>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c r="BJ859" s="108"/>
      <c r="BK859" s="108"/>
      <c r="BL859" s="108"/>
      <c r="BM859" s="108"/>
      <c r="BN859" s="108"/>
      <c r="BO859" s="108"/>
      <c r="BP859" s="108"/>
      <c r="BQ859" s="108"/>
      <c r="BR859" s="108"/>
      <c r="BS859" s="108"/>
      <c r="BT859" s="108"/>
      <c r="BU859" s="108"/>
      <c r="BV859" s="108"/>
      <c r="BW859" s="108"/>
      <c r="BX859" s="108"/>
      <c r="BY859" s="108"/>
      <c r="BZ859" s="108"/>
      <c r="CA859" s="108"/>
      <c r="CB859" s="108"/>
      <c r="CC859" s="108"/>
      <c r="CD859" s="108"/>
      <c r="CE859" s="108"/>
      <c r="CF859" s="108"/>
      <c r="CG859" s="108"/>
      <c r="CH859" s="108"/>
      <c r="CI859" s="108"/>
      <c r="CJ859" s="108"/>
      <c r="CK859" s="108"/>
      <c r="CL859" s="108"/>
      <c r="CM859" s="108"/>
      <c r="CN859" s="110"/>
      <c r="CO859" s="111"/>
      <c r="CP859" s="110"/>
      <c r="CQ859" s="111"/>
      <c r="CR859" s="110"/>
      <c r="CS859" s="111"/>
      <c r="CT859" s="112">
        <f t="shared" si="217"/>
        <v>0</v>
      </c>
      <c r="CU859" s="113"/>
      <c r="CV859" s="114"/>
      <c r="CW859" s="115"/>
      <c r="CX859" s="116"/>
      <c r="CY859" s="117"/>
      <c r="CZ859" s="116"/>
      <c r="DA859" s="113"/>
      <c r="DB859" s="114"/>
      <c r="DC859" s="64"/>
      <c r="DD859" s="118"/>
    </row>
    <row r="860" spans="1:108" s="119" customFormat="1" outlineLevel="2">
      <c r="A860" s="178">
        <v>40499</v>
      </c>
      <c r="B860" s="164" t="s">
        <v>578</v>
      </c>
      <c r="C860" s="164" t="s">
        <v>2409</v>
      </c>
      <c r="D860" s="166" t="s">
        <v>1262</v>
      </c>
      <c r="E860" s="163"/>
      <c r="F860" s="105"/>
      <c r="G860" s="105"/>
      <c r="H860" s="105">
        <f>197*5</f>
        <v>985</v>
      </c>
      <c r="I860" s="105">
        <v>197</v>
      </c>
      <c r="J860" s="105"/>
      <c r="K860" s="105"/>
      <c r="L860" s="105"/>
      <c r="M860" s="105"/>
      <c r="N860" s="105"/>
      <c r="O860" s="105"/>
      <c r="P860" s="105"/>
      <c r="Q860" s="105"/>
      <c r="R860" s="105"/>
      <c r="S860" s="105"/>
      <c r="T860" s="106"/>
      <c r="U860" s="130"/>
      <c r="V860" s="1"/>
      <c r="W860" s="68">
        <f t="shared" si="212"/>
        <v>0</v>
      </c>
      <c r="X860" s="68">
        <f t="shared" si="213"/>
        <v>0</v>
      </c>
      <c r="Y860" s="68">
        <f t="shared" si="214"/>
        <v>0</v>
      </c>
      <c r="Z860" s="68">
        <f t="shared" si="215"/>
        <v>0</v>
      </c>
      <c r="AA860" s="68"/>
      <c r="AB860" s="68">
        <v>0</v>
      </c>
      <c r="AC860" s="69">
        <f t="shared" si="216"/>
        <v>0</v>
      </c>
      <c r="AD860" s="70">
        <v>0</v>
      </c>
      <c r="AE860" s="63"/>
      <c r="AF860" s="72"/>
      <c r="AG860" s="63"/>
      <c r="AH860" s="23"/>
      <c r="AI860" s="60"/>
      <c r="AJ860" s="124"/>
      <c r="AK860" s="121" t="s">
        <v>2410</v>
      </c>
      <c r="AL860" s="107"/>
      <c r="AM860" s="108"/>
      <c r="AN860" s="109"/>
      <c r="AO860" s="108"/>
      <c r="AP860" s="108"/>
      <c r="AQ860" s="108"/>
      <c r="AR860" s="108"/>
      <c r="AS860" s="108"/>
      <c r="AT860" s="108"/>
      <c r="AU860" s="108"/>
      <c r="AV860" s="108"/>
      <c r="AW860" s="108"/>
      <c r="AX860" s="108"/>
      <c r="AY860" s="108"/>
      <c r="AZ860" s="108"/>
      <c r="BA860" s="108"/>
      <c r="BB860" s="108"/>
      <c r="BC860" s="108"/>
      <c r="BD860" s="108"/>
      <c r="BE860" s="108"/>
      <c r="BF860" s="108"/>
      <c r="BG860" s="108"/>
      <c r="BH860" s="108"/>
      <c r="BI860" s="108"/>
      <c r="BJ860" s="108"/>
      <c r="BK860" s="108"/>
      <c r="BL860" s="108"/>
      <c r="BM860" s="108"/>
      <c r="BN860" s="108"/>
      <c r="BO860" s="108"/>
      <c r="BP860" s="108"/>
      <c r="BQ860" s="108"/>
      <c r="BR860" s="108"/>
      <c r="BS860" s="108"/>
      <c r="BT860" s="108"/>
      <c r="BU860" s="108"/>
      <c r="BV860" s="108"/>
      <c r="BW860" s="108"/>
      <c r="BX860" s="108"/>
      <c r="BY860" s="108"/>
      <c r="BZ860" s="108"/>
      <c r="CA860" s="108"/>
      <c r="CB860" s="108"/>
      <c r="CC860" s="108"/>
      <c r="CD860" s="108"/>
      <c r="CE860" s="108"/>
      <c r="CF860" s="108"/>
      <c r="CG860" s="108"/>
      <c r="CH860" s="108"/>
      <c r="CI860" s="108"/>
      <c r="CJ860" s="108"/>
      <c r="CK860" s="108"/>
      <c r="CL860" s="108"/>
      <c r="CM860" s="108"/>
      <c r="CN860" s="110"/>
      <c r="CO860" s="111"/>
      <c r="CP860" s="110"/>
      <c r="CQ860" s="111"/>
      <c r="CR860" s="110"/>
      <c r="CS860" s="111"/>
      <c r="CT860" s="112">
        <f t="shared" si="217"/>
        <v>0</v>
      </c>
      <c r="CU860" s="113"/>
      <c r="CV860" s="114"/>
      <c r="CW860" s="115"/>
      <c r="CX860" s="116"/>
      <c r="CY860" s="117"/>
      <c r="CZ860" s="116"/>
      <c r="DA860" s="113"/>
      <c r="DB860" s="114"/>
      <c r="DC860" s="64"/>
      <c r="DD860" s="118"/>
    </row>
    <row r="861" spans="1:108" s="119" customFormat="1" outlineLevel="1">
      <c r="A861" s="178"/>
      <c r="B861" s="192" t="s">
        <v>2452</v>
      </c>
      <c r="C861" s="164"/>
      <c r="D861" s="166"/>
      <c r="E861" s="163">
        <f t="shared" ref="E861:T861" si="218">SUBTOTAL(9,E827:E860)</f>
        <v>8</v>
      </c>
      <c r="F861" s="105">
        <f t="shared" si="218"/>
        <v>1</v>
      </c>
      <c r="G861" s="105">
        <f t="shared" si="218"/>
        <v>2</v>
      </c>
      <c r="H861" s="105">
        <f t="shared" si="218"/>
        <v>216758</v>
      </c>
      <c r="I861" s="105">
        <f t="shared" si="218"/>
        <v>40008</v>
      </c>
      <c r="J861" s="105">
        <f t="shared" si="218"/>
        <v>13</v>
      </c>
      <c r="K861" s="105">
        <f t="shared" si="218"/>
        <v>6640</v>
      </c>
      <c r="L861" s="105">
        <f t="shared" si="218"/>
        <v>7</v>
      </c>
      <c r="M861" s="105">
        <f t="shared" si="218"/>
        <v>0</v>
      </c>
      <c r="N861" s="105">
        <f t="shared" si="218"/>
        <v>0</v>
      </c>
      <c r="O861" s="105">
        <f t="shared" si="218"/>
        <v>0</v>
      </c>
      <c r="P861" s="105">
        <f t="shared" si="218"/>
        <v>0</v>
      </c>
      <c r="Q861" s="105">
        <f t="shared" si="218"/>
        <v>0</v>
      </c>
      <c r="R861" s="105">
        <f t="shared" si="218"/>
        <v>3</v>
      </c>
      <c r="S861" s="105">
        <f t="shared" si="218"/>
        <v>0</v>
      </c>
      <c r="T861" s="106">
        <f t="shared" si="218"/>
        <v>3407</v>
      </c>
      <c r="U861" s="130"/>
      <c r="V861" s="1"/>
      <c r="W861" s="68">
        <f t="shared" ref="W861:AD861" si="219">SUBTOTAL(9,W827:W860)</f>
        <v>552511801.15999997</v>
      </c>
      <c r="X861" s="68">
        <f t="shared" si="219"/>
        <v>572305000</v>
      </c>
      <c r="Y861" s="68">
        <f t="shared" si="219"/>
        <v>0</v>
      </c>
      <c r="Z861" s="68">
        <f t="shared" si="219"/>
        <v>1800000</v>
      </c>
      <c r="AA861" s="68">
        <f t="shared" si="219"/>
        <v>54288000</v>
      </c>
      <c r="AB861" s="68">
        <f t="shared" si="219"/>
        <v>0</v>
      </c>
      <c r="AC861" s="69">
        <f t="shared" si="219"/>
        <v>1180904801.1599998</v>
      </c>
      <c r="AD861" s="70">
        <f t="shared" si="219"/>
        <v>0</v>
      </c>
      <c r="AE861" s="63"/>
      <c r="AF861" s="72"/>
      <c r="AG861" s="63"/>
      <c r="AH861" s="23"/>
      <c r="AI861" s="60"/>
      <c r="AJ861" s="124"/>
      <c r="AK861" s="121"/>
      <c r="AL861" s="107"/>
      <c r="AM861" s="108"/>
      <c r="AN861" s="109"/>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8"/>
      <c r="CB861" s="108"/>
      <c r="CC861" s="108"/>
      <c r="CD861" s="108"/>
      <c r="CE861" s="108"/>
      <c r="CF861" s="108"/>
      <c r="CG861" s="108"/>
      <c r="CH861" s="108"/>
      <c r="CI861" s="108"/>
      <c r="CJ861" s="108"/>
      <c r="CK861" s="108"/>
      <c r="CL861" s="108"/>
      <c r="CM861" s="108"/>
      <c r="CN861" s="110"/>
      <c r="CO861" s="111"/>
      <c r="CP861" s="110"/>
      <c r="CQ861" s="111"/>
      <c r="CR861" s="110"/>
      <c r="CS861" s="111"/>
      <c r="CT861" s="112"/>
      <c r="CU861" s="113"/>
      <c r="CV861" s="114"/>
      <c r="CW861" s="115"/>
      <c r="CX861" s="116"/>
      <c r="CY861" s="117"/>
      <c r="CZ861" s="116"/>
      <c r="DA861" s="113"/>
      <c r="DB861" s="114"/>
      <c r="DC861" s="64"/>
      <c r="DD861" s="118"/>
    </row>
    <row r="862" spans="1:108" s="119" customFormat="1" ht="33.75" outlineLevel="2">
      <c r="A862" s="178">
        <v>40449</v>
      </c>
      <c r="B862" s="164" t="s">
        <v>1193</v>
      </c>
      <c r="C862" s="164" t="s">
        <v>1194</v>
      </c>
      <c r="D862" s="166" t="s">
        <v>435</v>
      </c>
      <c r="E862" s="163"/>
      <c r="F862" s="105"/>
      <c r="G862" s="105"/>
      <c r="H862" s="105">
        <v>35</v>
      </c>
      <c r="I862" s="105">
        <v>7</v>
      </c>
      <c r="J862" s="105"/>
      <c r="K862" s="105">
        <v>7</v>
      </c>
      <c r="L862" s="105"/>
      <c r="M862" s="105"/>
      <c r="N862" s="105"/>
      <c r="O862" s="105"/>
      <c r="P862" s="105"/>
      <c r="Q862" s="105"/>
      <c r="R862" s="105"/>
      <c r="S862" s="105">
        <v>1</v>
      </c>
      <c r="T862" s="106"/>
      <c r="U862" s="130"/>
      <c r="V862" s="1"/>
      <c r="W862" s="68">
        <f>CT862</f>
        <v>0</v>
      </c>
      <c r="X862" s="68">
        <f>CX862</f>
        <v>0</v>
      </c>
      <c r="Y862" s="68">
        <f>CZ862+DB862</f>
        <v>0</v>
      </c>
      <c r="Z862" s="68">
        <f>CV862</f>
        <v>0</v>
      </c>
      <c r="AA862" s="68"/>
      <c r="AB862" s="68">
        <v>0</v>
      </c>
      <c r="AC862" s="69">
        <f>W862+X862+Y862+Z862+AA862+AB862</f>
        <v>0</v>
      </c>
      <c r="AD862" s="70">
        <v>0</v>
      </c>
      <c r="AE862" s="63">
        <v>40451</v>
      </c>
      <c r="AF862" s="72"/>
      <c r="AG862" s="63" t="s">
        <v>938</v>
      </c>
      <c r="AH862" s="23" t="s">
        <v>939</v>
      </c>
      <c r="AI862" s="60"/>
      <c r="AJ862" s="124" t="s">
        <v>1608</v>
      </c>
      <c r="AK862" s="121" t="s">
        <v>747</v>
      </c>
      <c r="AL862" s="107"/>
      <c r="AM862" s="108"/>
      <c r="AN862" s="109"/>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c r="BJ862" s="108"/>
      <c r="BK862" s="108"/>
      <c r="BL862" s="108"/>
      <c r="BM862" s="108"/>
      <c r="BN862" s="108"/>
      <c r="BO862" s="108"/>
      <c r="BP862" s="108"/>
      <c r="BQ862" s="108"/>
      <c r="BR862" s="108"/>
      <c r="BS862" s="108"/>
      <c r="BT862" s="108"/>
      <c r="BU862" s="108"/>
      <c r="BV862" s="108"/>
      <c r="BW862" s="108"/>
      <c r="BX862" s="108"/>
      <c r="BY862" s="108"/>
      <c r="BZ862" s="108"/>
      <c r="CA862" s="108"/>
      <c r="CB862" s="108"/>
      <c r="CC862" s="108"/>
      <c r="CD862" s="108"/>
      <c r="CE862" s="108"/>
      <c r="CF862" s="108"/>
      <c r="CG862" s="108"/>
      <c r="CH862" s="108"/>
      <c r="CI862" s="108"/>
      <c r="CJ862" s="108"/>
      <c r="CK862" s="108"/>
      <c r="CL862" s="108"/>
      <c r="CM862" s="108"/>
      <c r="CN862" s="110"/>
      <c r="CO862" s="111"/>
      <c r="CP862" s="110"/>
      <c r="CQ862" s="111"/>
      <c r="CR862" s="110"/>
      <c r="CS862" s="111"/>
      <c r="CT862" s="112">
        <f>AM862+AO862+AQ862+AS862+AU862+AW862+AY862+BA862+BC862+BE862+BG862+BI862+BK862+BM862+BO862+BQ862+BS862+BU862+BW862+BY862+CA862+CC862+CE862+CG862+CI862+CK862+CM862+CO862+CQ862+CS862</f>
        <v>0</v>
      </c>
      <c r="CU862" s="113"/>
      <c r="CV862" s="114"/>
      <c r="CW862" s="115"/>
      <c r="CX862" s="116"/>
      <c r="CY862" s="117"/>
      <c r="CZ862" s="116"/>
      <c r="DA862" s="113"/>
      <c r="DB862" s="114"/>
      <c r="DC862" s="64"/>
      <c r="DD862" s="118"/>
    </row>
    <row r="863" spans="1:108" s="119" customFormat="1" outlineLevel="1">
      <c r="A863" s="178"/>
      <c r="B863" s="192" t="s">
        <v>2453</v>
      </c>
      <c r="C863" s="164"/>
      <c r="D863" s="166"/>
      <c r="E863" s="163">
        <f t="shared" ref="E863:T863" si="220">SUBTOTAL(9,E862:E862)</f>
        <v>0</v>
      </c>
      <c r="F863" s="105">
        <f t="shared" si="220"/>
        <v>0</v>
      </c>
      <c r="G863" s="105">
        <f t="shared" si="220"/>
        <v>0</v>
      </c>
      <c r="H863" s="105">
        <f t="shared" si="220"/>
        <v>35</v>
      </c>
      <c r="I863" s="105">
        <f t="shared" si="220"/>
        <v>7</v>
      </c>
      <c r="J863" s="105">
        <f t="shared" si="220"/>
        <v>0</v>
      </c>
      <c r="K863" s="105">
        <f t="shared" si="220"/>
        <v>7</v>
      </c>
      <c r="L863" s="105">
        <f t="shared" si="220"/>
        <v>0</v>
      </c>
      <c r="M863" s="105">
        <f t="shared" si="220"/>
        <v>0</v>
      </c>
      <c r="N863" s="105">
        <f t="shared" si="220"/>
        <v>0</v>
      </c>
      <c r="O863" s="105">
        <f t="shared" si="220"/>
        <v>0</v>
      </c>
      <c r="P863" s="105">
        <f t="shared" si="220"/>
        <v>0</v>
      </c>
      <c r="Q863" s="105">
        <f t="shared" si="220"/>
        <v>0</v>
      </c>
      <c r="R863" s="105">
        <f t="shared" si="220"/>
        <v>0</v>
      </c>
      <c r="S863" s="105">
        <f t="shared" si="220"/>
        <v>1</v>
      </c>
      <c r="T863" s="106">
        <f t="shared" si="220"/>
        <v>0</v>
      </c>
      <c r="U863" s="130"/>
      <c r="V863" s="1"/>
      <c r="W863" s="68">
        <f t="shared" ref="W863:AD863" si="221">SUBTOTAL(9,W862:W862)</f>
        <v>0</v>
      </c>
      <c r="X863" s="68">
        <f t="shared" si="221"/>
        <v>0</v>
      </c>
      <c r="Y863" s="68">
        <f t="shared" si="221"/>
        <v>0</v>
      </c>
      <c r="Z863" s="68">
        <f t="shared" si="221"/>
        <v>0</v>
      </c>
      <c r="AA863" s="68">
        <f t="shared" si="221"/>
        <v>0</v>
      </c>
      <c r="AB863" s="68">
        <f t="shared" si="221"/>
        <v>0</v>
      </c>
      <c r="AC863" s="69">
        <f t="shared" si="221"/>
        <v>0</v>
      </c>
      <c r="AD863" s="70">
        <f t="shared" si="221"/>
        <v>0</v>
      </c>
      <c r="AE863" s="63"/>
      <c r="AF863" s="72"/>
      <c r="AG863" s="63"/>
      <c r="AH863" s="23"/>
      <c r="AI863" s="60"/>
      <c r="AJ863" s="124"/>
      <c r="AK863" s="121"/>
      <c r="AL863" s="107"/>
      <c r="AM863" s="108"/>
      <c r="AN863" s="109"/>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c r="BJ863" s="108"/>
      <c r="BK863" s="108"/>
      <c r="BL863" s="108"/>
      <c r="BM863" s="108"/>
      <c r="BN863" s="108"/>
      <c r="BO863" s="108"/>
      <c r="BP863" s="108"/>
      <c r="BQ863" s="108"/>
      <c r="BR863" s="108"/>
      <c r="BS863" s="108"/>
      <c r="BT863" s="108"/>
      <c r="BU863" s="108"/>
      <c r="BV863" s="108"/>
      <c r="BW863" s="108"/>
      <c r="BX863" s="108"/>
      <c r="BY863" s="108"/>
      <c r="BZ863" s="108"/>
      <c r="CA863" s="108"/>
      <c r="CB863" s="108"/>
      <c r="CC863" s="108"/>
      <c r="CD863" s="108"/>
      <c r="CE863" s="108"/>
      <c r="CF863" s="108"/>
      <c r="CG863" s="108"/>
      <c r="CH863" s="108"/>
      <c r="CI863" s="108"/>
      <c r="CJ863" s="108"/>
      <c r="CK863" s="108"/>
      <c r="CL863" s="108"/>
      <c r="CM863" s="108"/>
      <c r="CN863" s="110"/>
      <c r="CO863" s="111"/>
      <c r="CP863" s="110"/>
      <c r="CQ863" s="111"/>
      <c r="CR863" s="110"/>
      <c r="CS863" s="111"/>
      <c r="CT863" s="112"/>
      <c r="CU863" s="113"/>
      <c r="CV863" s="114"/>
      <c r="CW863" s="115"/>
      <c r="CX863" s="116"/>
      <c r="CY863" s="117"/>
      <c r="CZ863" s="116"/>
      <c r="DA863" s="113"/>
      <c r="DB863" s="114"/>
      <c r="DC863" s="64"/>
      <c r="DD863" s="118"/>
    </row>
    <row r="864" spans="1:108" s="119" customFormat="1" ht="60" outlineLevel="2">
      <c r="A864" s="178">
        <v>40276</v>
      </c>
      <c r="B864" s="82" t="s">
        <v>1665</v>
      </c>
      <c r="C864" s="82" t="s">
        <v>1697</v>
      </c>
      <c r="D864" s="165" t="s">
        <v>435</v>
      </c>
      <c r="E864" s="167"/>
      <c r="F864" s="66"/>
      <c r="G864" s="66"/>
      <c r="H864" s="66"/>
      <c r="I864" s="66"/>
      <c r="J864" s="66"/>
      <c r="K864" s="66"/>
      <c r="L864" s="66"/>
      <c r="M864" s="66"/>
      <c r="N864" s="66"/>
      <c r="O864" s="66"/>
      <c r="P864" s="66"/>
      <c r="Q864" s="66"/>
      <c r="R864" s="66"/>
      <c r="S864" s="66"/>
      <c r="T864" s="67"/>
      <c r="U864" s="151"/>
      <c r="V864" s="1"/>
      <c r="W864" s="68">
        <f t="shared" ref="W864:W911" si="222">CT864</f>
        <v>0</v>
      </c>
      <c r="X864" s="68">
        <f t="shared" ref="X864:X911" si="223">CX864</f>
        <v>0</v>
      </c>
      <c r="Y864" s="68">
        <f t="shared" ref="Y864:Y911" si="224">CZ864+DB864</f>
        <v>0</v>
      </c>
      <c r="Z864" s="68">
        <f t="shared" ref="Z864:Z911" si="225">CV864</f>
        <v>0</v>
      </c>
      <c r="AA864" s="68"/>
      <c r="AB864" s="68">
        <v>0</v>
      </c>
      <c r="AC864" s="69">
        <f t="shared" ref="AC864:AC911" si="226">W864+X864+Y864+Z864+AA864+AB864</f>
        <v>0</v>
      </c>
      <c r="AD864" s="70">
        <v>0</v>
      </c>
      <c r="AE864" s="63">
        <v>40277</v>
      </c>
      <c r="AF864" s="72"/>
      <c r="AG864" s="63" t="s">
        <v>938</v>
      </c>
      <c r="AH864" s="23" t="s">
        <v>939</v>
      </c>
      <c r="AI864" s="60"/>
      <c r="AJ864" s="133" t="s">
        <v>1608</v>
      </c>
      <c r="AK864" s="73" t="s">
        <v>1893</v>
      </c>
      <c r="AL864" s="3"/>
      <c r="AM864" s="4"/>
      <c r="AN864" s="5"/>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6"/>
      <c r="CO864" s="7"/>
      <c r="CP864" s="6"/>
      <c r="CQ864" s="7"/>
      <c r="CR864" s="6"/>
      <c r="CS864" s="7"/>
      <c r="CT864" s="8">
        <f t="shared" ref="CT864:CT911" si="227">AM864+AO864+AQ864+AS864+AU864+AW864+AY864+BA864+BC864+BE864+BG864+BI864+BK864+BM864+BO864+BQ864+BS864+BU864+BW864+BY864+CA864+CC864+CE864+CG864+CI864+CK864+CM864+CO864+CQ864+CS864</f>
        <v>0</v>
      </c>
      <c r="CU864" s="9"/>
      <c r="CV864" s="10"/>
      <c r="CW864" s="11"/>
      <c r="CX864" s="12"/>
      <c r="CY864" s="26"/>
      <c r="CZ864" s="12"/>
      <c r="DA864" s="9"/>
      <c r="DB864" s="10"/>
      <c r="DC864" s="64"/>
      <c r="DD864" s="22"/>
    </row>
    <row r="865" spans="1:108" s="119" customFormat="1" ht="24" outlineLevel="2">
      <c r="A865" s="178">
        <v>40280</v>
      </c>
      <c r="B865" s="82" t="s">
        <v>1665</v>
      </c>
      <c r="C865" s="82" t="s">
        <v>850</v>
      </c>
      <c r="D865" s="165" t="s">
        <v>1262</v>
      </c>
      <c r="E865" s="167"/>
      <c r="F865" s="66"/>
      <c r="G865" s="66"/>
      <c r="H865" s="66">
        <v>70</v>
      </c>
      <c r="I865" s="66">
        <v>17</v>
      </c>
      <c r="J865" s="66"/>
      <c r="K865" s="66">
        <v>17</v>
      </c>
      <c r="L865" s="66"/>
      <c r="M865" s="66"/>
      <c r="N865" s="66">
        <v>4</v>
      </c>
      <c r="O865" s="66"/>
      <c r="P865" s="66"/>
      <c r="Q865" s="66"/>
      <c r="R865" s="66"/>
      <c r="S865" s="66"/>
      <c r="T865" s="67"/>
      <c r="U865" s="151"/>
      <c r="V865" s="1"/>
      <c r="W865" s="68">
        <f t="shared" si="222"/>
        <v>0</v>
      </c>
      <c r="X865" s="68">
        <f t="shared" si="223"/>
        <v>0</v>
      </c>
      <c r="Y865" s="68">
        <f t="shared" si="224"/>
        <v>0</v>
      </c>
      <c r="Z865" s="68">
        <f t="shared" si="225"/>
        <v>0</v>
      </c>
      <c r="AA865" s="68"/>
      <c r="AB865" s="68">
        <v>0</v>
      </c>
      <c r="AC865" s="69">
        <f t="shared" si="226"/>
        <v>0</v>
      </c>
      <c r="AD865" s="70">
        <v>0</v>
      </c>
      <c r="AE865" s="63">
        <v>40281</v>
      </c>
      <c r="AF865" s="72"/>
      <c r="AG865" s="63" t="s">
        <v>938</v>
      </c>
      <c r="AH865" s="23" t="s">
        <v>939</v>
      </c>
      <c r="AI865" s="60"/>
      <c r="AJ865" s="133" t="s">
        <v>1608</v>
      </c>
      <c r="AK865" s="73" t="s">
        <v>862</v>
      </c>
      <c r="AL865" s="3"/>
      <c r="AM865" s="4"/>
      <c r="AN865" s="5"/>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6"/>
      <c r="CO865" s="7"/>
      <c r="CP865" s="6"/>
      <c r="CQ865" s="7"/>
      <c r="CR865" s="6"/>
      <c r="CS865" s="7"/>
      <c r="CT865" s="8">
        <f t="shared" si="227"/>
        <v>0</v>
      </c>
      <c r="CU865" s="9"/>
      <c r="CV865" s="10"/>
      <c r="CW865" s="11"/>
      <c r="CX865" s="12"/>
      <c r="CY865" s="26"/>
      <c r="CZ865" s="12"/>
      <c r="DA865" s="9"/>
      <c r="DB865" s="10"/>
      <c r="DC865" s="64"/>
      <c r="DD865" s="22"/>
    </row>
    <row r="866" spans="1:108" s="119" customFormat="1" ht="24" outlineLevel="2">
      <c r="A866" s="178">
        <v>40281</v>
      </c>
      <c r="B866" s="82" t="s">
        <v>1665</v>
      </c>
      <c r="C866" s="82" t="s">
        <v>870</v>
      </c>
      <c r="D866" s="165" t="s">
        <v>1262</v>
      </c>
      <c r="E866" s="167"/>
      <c r="F866" s="66"/>
      <c r="G866" s="66"/>
      <c r="H866" s="66">
        <v>50</v>
      </c>
      <c r="I866" s="66">
        <v>10</v>
      </c>
      <c r="J866" s="66"/>
      <c r="K866" s="66">
        <v>10</v>
      </c>
      <c r="L866" s="66"/>
      <c r="M866" s="66"/>
      <c r="N866" s="66"/>
      <c r="O866" s="66"/>
      <c r="P866" s="66"/>
      <c r="Q866" s="66"/>
      <c r="R866" s="66"/>
      <c r="S866" s="66"/>
      <c r="T866" s="67"/>
      <c r="U866" s="151"/>
      <c r="V866" s="1"/>
      <c r="W866" s="68">
        <f t="shared" si="222"/>
        <v>0</v>
      </c>
      <c r="X866" s="68">
        <f t="shared" si="223"/>
        <v>0</v>
      </c>
      <c r="Y866" s="68">
        <f t="shared" si="224"/>
        <v>0</v>
      </c>
      <c r="Z866" s="68">
        <f t="shared" si="225"/>
        <v>0</v>
      </c>
      <c r="AA866" s="68"/>
      <c r="AB866" s="68">
        <v>0</v>
      </c>
      <c r="AC866" s="69">
        <f t="shared" si="226"/>
        <v>0</v>
      </c>
      <c r="AD866" s="70">
        <v>0</v>
      </c>
      <c r="AE866" s="63">
        <v>40282</v>
      </c>
      <c r="AF866" s="72"/>
      <c r="AG866" s="63" t="s">
        <v>938</v>
      </c>
      <c r="AH866" s="23" t="s">
        <v>939</v>
      </c>
      <c r="AI866" s="60"/>
      <c r="AJ866" s="133" t="s">
        <v>1608</v>
      </c>
      <c r="AK866" s="73" t="s">
        <v>871</v>
      </c>
      <c r="AL866" s="3"/>
      <c r="AM866" s="4"/>
      <c r="AN866" s="5"/>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6"/>
      <c r="CO866" s="7"/>
      <c r="CP866" s="6"/>
      <c r="CQ866" s="7"/>
      <c r="CR866" s="6"/>
      <c r="CS866" s="7"/>
      <c r="CT866" s="8">
        <f t="shared" si="227"/>
        <v>0</v>
      </c>
      <c r="CU866" s="9"/>
      <c r="CV866" s="10"/>
      <c r="CW866" s="11"/>
      <c r="CX866" s="12"/>
      <c r="CY866" s="26"/>
      <c r="CZ866" s="12"/>
      <c r="DA866" s="9"/>
      <c r="DB866" s="10"/>
      <c r="DC866" s="64"/>
      <c r="DD866" s="22"/>
    </row>
    <row r="867" spans="1:108" s="119" customFormat="1" ht="48" outlineLevel="2">
      <c r="A867" s="178">
        <v>40300</v>
      </c>
      <c r="B867" s="82" t="s">
        <v>1665</v>
      </c>
      <c r="C867" s="82" t="s">
        <v>850</v>
      </c>
      <c r="D867" s="165" t="s">
        <v>435</v>
      </c>
      <c r="E867" s="167"/>
      <c r="F867" s="66"/>
      <c r="G867" s="66"/>
      <c r="H867" s="66"/>
      <c r="I867" s="66"/>
      <c r="J867" s="66"/>
      <c r="K867" s="66"/>
      <c r="L867" s="66">
        <v>1</v>
      </c>
      <c r="M867" s="66"/>
      <c r="N867" s="66"/>
      <c r="O867" s="66"/>
      <c r="P867" s="66"/>
      <c r="Q867" s="66"/>
      <c r="R867" s="66"/>
      <c r="S867" s="66"/>
      <c r="T867" s="67"/>
      <c r="U867" s="151"/>
      <c r="V867" s="1"/>
      <c r="W867" s="68">
        <f t="shared" si="222"/>
        <v>0</v>
      </c>
      <c r="X867" s="68">
        <f t="shared" si="223"/>
        <v>0</v>
      </c>
      <c r="Y867" s="68">
        <f t="shared" si="224"/>
        <v>0</v>
      </c>
      <c r="Z867" s="68">
        <f t="shared" si="225"/>
        <v>0</v>
      </c>
      <c r="AA867" s="68"/>
      <c r="AB867" s="68">
        <v>0</v>
      </c>
      <c r="AC867" s="69">
        <f t="shared" si="226"/>
        <v>0</v>
      </c>
      <c r="AD867" s="70">
        <v>0</v>
      </c>
      <c r="AE867" s="63">
        <v>40301</v>
      </c>
      <c r="AF867" s="72"/>
      <c r="AG867" s="63" t="s">
        <v>938</v>
      </c>
      <c r="AH867" s="23" t="s">
        <v>939</v>
      </c>
      <c r="AI867" s="60"/>
      <c r="AJ867" s="133" t="s">
        <v>1608</v>
      </c>
      <c r="AK867" s="73" t="s">
        <v>622</v>
      </c>
      <c r="AL867" s="3"/>
      <c r="AM867" s="4"/>
      <c r="AN867" s="5"/>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6"/>
      <c r="CO867" s="7"/>
      <c r="CP867" s="6"/>
      <c r="CQ867" s="7"/>
      <c r="CR867" s="6"/>
      <c r="CS867" s="7"/>
      <c r="CT867" s="8">
        <f t="shared" si="227"/>
        <v>0</v>
      </c>
      <c r="CU867" s="9"/>
      <c r="CV867" s="10"/>
      <c r="CW867" s="11"/>
      <c r="CX867" s="12"/>
      <c r="CY867" s="26"/>
      <c r="CZ867" s="12"/>
      <c r="DA867" s="9"/>
      <c r="DB867" s="10"/>
      <c r="DC867" s="64"/>
      <c r="DD867" s="22"/>
    </row>
    <row r="868" spans="1:108" s="119" customFormat="1" ht="33" outlineLevel="2">
      <c r="A868" s="178">
        <v>40304</v>
      </c>
      <c r="B868" s="82" t="s">
        <v>1665</v>
      </c>
      <c r="C868" s="82" t="s">
        <v>1657</v>
      </c>
      <c r="D868" s="165" t="s">
        <v>1262</v>
      </c>
      <c r="E868" s="167"/>
      <c r="F868" s="66"/>
      <c r="G868" s="66"/>
      <c r="H868" s="66">
        <v>275</v>
      </c>
      <c r="I868" s="66">
        <v>55</v>
      </c>
      <c r="J868" s="66"/>
      <c r="K868" s="66"/>
      <c r="L868" s="66"/>
      <c r="M868" s="66"/>
      <c r="N868" s="66"/>
      <c r="O868" s="66"/>
      <c r="P868" s="66"/>
      <c r="Q868" s="66"/>
      <c r="R868" s="66"/>
      <c r="S868" s="66"/>
      <c r="T868" s="67"/>
      <c r="U868" s="151" t="s">
        <v>1247</v>
      </c>
      <c r="V868" s="1"/>
      <c r="W868" s="68">
        <f t="shared" si="222"/>
        <v>0</v>
      </c>
      <c r="X868" s="68">
        <f t="shared" si="223"/>
        <v>0</v>
      </c>
      <c r="Y868" s="68">
        <f t="shared" si="224"/>
        <v>0</v>
      </c>
      <c r="Z868" s="68">
        <f t="shared" si="225"/>
        <v>0</v>
      </c>
      <c r="AA868" s="68"/>
      <c r="AB868" s="68">
        <v>0</v>
      </c>
      <c r="AC868" s="69">
        <f t="shared" si="226"/>
        <v>0</v>
      </c>
      <c r="AD868" s="70">
        <v>0</v>
      </c>
      <c r="AE868" s="63">
        <v>40306</v>
      </c>
      <c r="AF868" s="72"/>
      <c r="AG868" s="63" t="s">
        <v>938</v>
      </c>
      <c r="AH868" s="23" t="s">
        <v>939</v>
      </c>
      <c r="AI868" s="60"/>
      <c r="AJ868" s="133" t="s">
        <v>1608</v>
      </c>
      <c r="AK868" s="73" t="s">
        <v>1246</v>
      </c>
      <c r="AL868" s="3"/>
      <c r="AM868" s="4"/>
      <c r="AN868" s="5"/>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6"/>
      <c r="CO868" s="7"/>
      <c r="CP868" s="6"/>
      <c r="CQ868" s="7"/>
      <c r="CR868" s="6"/>
      <c r="CS868" s="7"/>
      <c r="CT868" s="8">
        <f t="shared" si="227"/>
        <v>0</v>
      </c>
      <c r="CU868" s="9"/>
      <c r="CV868" s="10"/>
      <c r="CW868" s="11"/>
      <c r="CX868" s="12"/>
      <c r="CY868" s="26"/>
      <c r="CZ868" s="12"/>
      <c r="DA868" s="9"/>
      <c r="DB868" s="10"/>
      <c r="DC868" s="64"/>
      <c r="DD868" s="22"/>
    </row>
    <row r="869" spans="1:108" s="119" customFormat="1" ht="36" outlineLevel="2">
      <c r="A869" s="178">
        <v>40333</v>
      </c>
      <c r="B869" s="82" t="s">
        <v>1665</v>
      </c>
      <c r="C869" s="82" t="s">
        <v>964</v>
      </c>
      <c r="D869" s="165" t="s">
        <v>1200</v>
      </c>
      <c r="E869" s="167"/>
      <c r="F869" s="66"/>
      <c r="G869" s="66"/>
      <c r="H869" s="66"/>
      <c r="I869" s="66"/>
      <c r="J869" s="66"/>
      <c r="K869" s="66"/>
      <c r="L869" s="66"/>
      <c r="M869" s="66"/>
      <c r="N869" s="66"/>
      <c r="O869" s="66">
        <v>1</v>
      </c>
      <c r="P869" s="66"/>
      <c r="Q869" s="66"/>
      <c r="R869" s="66"/>
      <c r="S869" s="66"/>
      <c r="T869" s="67"/>
      <c r="U869" s="151"/>
      <c r="V869" s="1"/>
      <c r="W869" s="68">
        <f t="shared" si="222"/>
        <v>0</v>
      </c>
      <c r="X869" s="68">
        <f t="shared" si="223"/>
        <v>0</v>
      </c>
      <c r="Y869" s="68">
        <f t="shared" si="224"/>
        <v>0</v>
      </c>
      <c r="Z869" s="68">
        <f t="shared" si="225"/>
        <v>0</v>
      </c>
      <c r="AA869" s="68"/>
      <c r="AB869" s="68">
        <v>0</v>
      </c>
      <c r="AC869" s="69">
        <f t="shared" si="226"/>
        <v>0</v>
      </c>
      <c r="AD869" s="70">
        <v>0</v>
      </c>
      <c r="AE869" s="63">
        <v>40337</v>
      </c>
      <c r="AF869" s="72"/>
      <c r="AG869" s="63" t="s">
        <v>938</v>
      </c>
      <c r="AH869" s="23" t="s">
        <v>939</v>
      </c>
      <c r="AI869" s="60"/>
      <c r="AJ869" s="133" t="s">
        <v>1608</v>
      </c>
      <c r="AK869" s="73" t="s">
        <v>965</v>
      </c>
      <c r="AL869" s="3"/>
      <c r="AM869" s="4"/>
      <c r="AN869" s="5"/>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6"/>
      <c r="CO869" s="7"/>
      <c r="CP869" s="6"/>
      <c r="CQ869" s="7"/>
      <c r="CR869" s="6"/>
      <c r="CS869" s="7"/>
      <c r="CT869" s="8">
        <f t="shared" si="227"/>
        <v>0</v>
      </c>
      <c r="CU869" s="9"/>
      <c r="CV869" s="10"/>
      <c r="CW869" s="11"/>
      <c r="CX869" s="12"/>
      <c r="CY869" s="26"/>
      <c r="CZ869" s="12"/>
      <c r="DA869" s="9"/>
      <c r="DB869" s="10"/>
      <c r="DC869" s="64"/>
      <c r="DD869" s="22"/>
    </row>
    <row r="870" spans="1:108" s="119" customFormat="1" ht="36" outlineLevel="2">
      <c r="A870" s="178">
        <v>40333</v>
      </c>
      <c r="B870" s="82" t="s">
        <v>1665</v>
      </c>
      <c r="C870" s="82" t="s">
        <v>1697</v>
      </c>
      <c r="D870" s="165" t="s">
        <v>1182</v>
      </c>
      <c r="E870" s="167"/>
      <c r="F870" s="66">
        <v>1</v>
      </c>
      <c r="G870" s="66"/>
      <c r="H870" s="66"/>
      <c r="I870" s="66"/>
      <c r="J870" s="66"/>
      <c r="K870" s="66"/>
      <c r="L870" s="66"/>
      <c r="M870" s="66"/>
      <c r="N870" s="66"/>
      <c r="O870" s="66"/>
      <c r="P870" s="66"/>
      <c r="Q870" s="66"/>
      <c r="R870" s="66"/>
      <c r="S870" s="66"/>
      <c r="T870" s="67"/>
      <c r="U870" s="151"/>
      <c r="V870" s="1"/>
      <c r="W870" s="68">
        <f t="shared" si="222"/>
        <v>0</v>
      </c>
      <c r="X870" s="68">
        <f t="shared" si="223"/>
        <v>0</v>
      </c>
      <c r="Y870" s="68">
        <f t="shared" si="224"/>
        <v>0</v>
      </c>
      <c r="Z870" s="68">
        <f t="shared" si="225"/>
        <v>0</v>
      </c>
      <c r="AA870" s="68"/>
      <c r="AB870" s="68">
        <v>0</v>
      </c>
      <c r="AC870" s="69">
        <f t="shared" si="226"/>
        <v>0</v>
      </c>
      <c r="AD870" s="70">
        <v>0</v>
      </c>
      <c r="AE870" s="63">
        <v>40334</v>
      </c>
      <c r="AF870" s="72"/>
      <c r="AG870" s="63" t="s">
        <v>938</v>
      </c>
      <c r="AH870" s="23" t="s">
        <v>939</v>
      </c>
      <c r="AI870" s="60"/>
      <c r="AJ870" s="133" t="s">
        <v>1608</v>
      </c>
      <c r="AK870" s="73" t="s">
        <v>1228</v>
      </c>
      <c r="AL870" s="3"/>
      <c r="AM870" s="4"/>
      <c r="AN870" s="5"/>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6"/>
      <c r="CO870" s="7"/>
      <c r="CP870" s="6"/>
      <c r="CQ870" s="7"/>
      <c r="CR870" s="6"/>
      <c r="CS870" s="7"/>
      <c r="CT870" s="8">
        <f t="shared" si="227"/>
        <v>0</v>
      </c>
      <c r="CU870" s="9"/>
      <c r="CV870" s="10"/>
      <c r="CW870" s="11"/>
      <c r="CX870" s="12"/>
      <c r="CY870" s="26"/>
      <c r="CZ870" s="12"/>
      <c r="DA870" s="9"/>
      <c r="DB870" s="10"/>
      <c r="DC870" s="64"/>
      <c r="DD870" s="22"/>
    </row>
    <row r="871" spans="1:108" s="119" customFormat="1" outlineLevel="2">
      <c r="A871" s="178">
        <v>40336</v>
      </c>
      <c r="B871" s="82" t="s">
        <v>1665</v>
      </c>
      <c r="C871" s="82" t="s">
        <v>888</v>
      </c>
      <c r="D871" s="165" t="s">
        <v>1200</v>
      </c>
      <c r="E871" s="167">
        <v>2</v>
      </c>
      <c r="F871" s="66"/>
      <c r="G871" s="66"/>
      <c r="H871" s="66"/>
      <c r="I871" s="66"/>
      <c r="J871" s="66"/>
      <c r="K871" s="66"/>
      <c r="L871" s="66"/>
      <c r="M871" s="66"/>
      <c r="N871" s="66"/>
      <c r="O871" s="66"/>
      <c r="P871" s="66"/>
      <c r="Q871" s="66"/>
      <c r="R871" s="66"/>
      <c r="S871" s="66"/>
      <c r="T871" s="67"/>
      <c r="U871" s="151"/>
      <c r="V871" s="1"/>
      <c r="W871" s="68">
        <f t="shared" si="222"/>
        <v>0</v>
      </c>
      <c r="X871" s="68">
        <f t="shared" si="223"/>
        <v>0</v>
      </c>
      <c r="Y871" s="68">
        <f t="shared" si="224"/>
        <v>0</v>
      </c>
      <c r="Z871" s="68">
        <f t="shared" si="225"/>
        <v>0</v>
      </c>
      <c r="AA871" s="68"/>
      <c r="AB871" s="68">
        <v>0</v>
      </c>
      <c r="AC871" s="69">
        <f t="shared" si="226"/>
        <v>0</v>
      </c>
      <c r="AD871" s="70">
        <v>0</v>
      </c>
      <c r="AE871" s="63">
        <v>40338</v>
      </c>
      <c r="AF871" s="72"/>
      <c r="AG871" s="63" t="s">
        <v>938</v>
      </c>
      <c r="AH871" s="23" t="s">
        <v>939</v>
      </c>
      <c r="AI871" s="60"/>
      <c r="AJ871" s="133" t="s">
        <v>1608</v>
      </c>
      <c r="AK871" s="73" t="s">
        <v>889</v>
      </c>
      <c r="AL871" s="3"/>
      <c r="AM871" s="4"/>
      <c r="AN871" s="5"/>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6"/>
      <c r="CO871" s="7"/>
      <c r="CP871" s="6"/>
      <c r="CQ871" s="7"/>
      <c r="CR871" s="6"/>
      <c r="CS871" s="7"/>
      <c r="CT871" s="8">
        <f t="shared" si="227"/>
        <v>0</v>
      </c>
      <c r="CU871" s="9"/>
      <c r="CV871" s="10"/>
      <c r="CW871" s="11"/>
      <c r="CX871" s="12"/>
      <c r="CY871" s="26"/>
      <c r="CZ871" s="12"/>
      <c r="DA871" s="9"/>
      <c r="DB871" s="10"/>
      <c r="DC871" s="64"/>
      <c r="DD871" s="22"/>
    </row>
    <row r="872" spans="1:108" s="119" customFormat="1" ht="36" outlineLevel="2">
      <c r="A872" s="178">
        <v>40349</v>
      </c>
      <c r="B872" s="82" t="s">
        <v>1665</v>
      </c>
      <c r="C872" s="82" t="s">
        <v>850</v>
      </c>
      <c r="D872" s="165" t="s">
        <v>1262</v>
      </c>
      <c r="E872" s="167">
        <v>1</v>
      </c>
      <c r="F872" s="66"/>
      <c r="G872" s="66"/>
      <c r="H872" s="66"/>
      <c r="I872" s="66"/>
      <c r="J872" s="66"/>
      <c r="K872" s="66"/>
      <c r="L872" s="66"/>
      <c r="M872" s="66"/>
      <c r="N872" s="66"/>
      <c r="O872" s="66"/>
      <c r="P872" s="66"/>
      <c r="Q872" s="66"/>
      <c r="R872" s="66"/>
      <c r="S872" s="66"/>
      <c r="T872" s="67"/>
      <c r="U872" s="151"/>
      <c r="V872" s="1"/>
      <c r="W872" s="68">
        <f t="shared" si="222"/>
        <v>0</v>
      </c>
      <c r="X872" s="68">
        <f t="shared" si="223"/>
        <v>0</v>
      </c>
      <c r="Y872" s="68">
        <f t="shared" si="224"/>
        <v>0</v>
      </c>
      <c r="Z872" s="68">
        <f t="shared" si="225"/>
        <v>0</v>
      </c>
      <c r="AA872" s="68"/>
      <c r="AB872" s="68">
        <v>0</v>
      </c>
      <c r="AC872" s="69">
        <f t="shared" si="226"/>
        <v>0</v>
      </c>
      <c r="AD872" s="70">
        <v>0</v>
      </c>
      <c r="AE872" s="63">
        <v>40350</v>
      </c>
      <c r="AF872" s="72"/>
      <c r="AG872" s="63" t="s">
        <v>938</v>
      </c>
      <c r="AH872" s="23" t="s">
        <v>939</v>
      </c>
      <c r="AI872" s="60"/>
      <c r="AJ872" s="133" t="s">
        <v>1608</v>
      </c>
      <c r="AK872" s="73" t="s">
        <v>1431</v>
      </c>
      <c r="AL872" s="3"/>
      <c r="AM872" s="4"/>
      <c r="AN872" s="5"/>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6"/>
      <c r="CO872" s="7"/>
      <c r="CP872" s="6"/>
      <c r="CQ872" s="7"/>
      <c r="CR872" s="6"/>
      <c r="CS872" s="7"/>
      <c r="CT872" s="8">
        <f t="shared" si="227"/>
        <v>0</v>
      </c>
      <c r="CU872" s="9"/>
      <c r="CV872" s="10"/>
      <c r="CW872" s="11"/>
      <c r="CX872" s="12"/>
      <c r="CY872" s="26"/>
      <c r="CZ872" s="12"/>
      <c r="DA872" s="9"/>
      <c r="DB872" s="10"/>
      <c r="DC872" s="64"/>
      <c r="DD872" s="22"/>
    </row>
    <row r="873" spans="1:108" s="119" customFormat="1" outlineLevel="2">
      <c r="A873" s="178">
        <v>40349</v>
      </c>
      <c r="B873" s="82" t="s">
        <v>1665</v>
      </c>
      <c r="C873" s="82" t="s">
        <v>1915</v>
      </c>
      <c r="D873" s="165" t="s">
        <v>1182</v>
      </c>
      <c r="E873" s="167"/>
      <c r="F873" s="66"/>
      <c r="G873" s="66"/>
      <c r="H873" s="66">
        <v>5</v>
      </c>
      <c r="I873" s="66">
        <v>1</v>
      </c>
      <c r="J873" s="66">
        <v>1</v>
      </c>
      <c r="K873" s="66"/>
      <c r="L873" s="66"/>
      <c r="M873" s="66"/>
      <c r="N873" s="66"/>
      <c r="O873" s="66"/>
      <c r="P873" s="66"/>
      <c r="Q873" s="66"/>
      <c r="R873" s="66"/>
      <c r="S873" s="66"/>
      <c r="T873" s="67"/>
      <c r="U873" s="151"/>
      <c r="V873" s="1"/>
      <c r="W873" s="68">
        <f t="shared" si="222"/>
        <v>0</v>
      </c>
      <c r="X873" s="68">
        <f t="shared" si="223"/>
        <v>0</v>
      </c>
      <c r="Y873" s="68">
        <f t="shared" si="224"/>
        <v>0</v>
      </c>
      <c r="Z873" s="68">
        <f t="shared" si="225"/>
        <v>0</v>
      </c>
      <c r="AA873" s="68"/>
      <c r="AB873" s="68">
        <v>0</v>
      </c>
      <c r="AC873" s="69">
        <f t="shared" si="226"/>
        <v>0</v>
      </c>
      <c r="AD873" s="70">
        <v>0</v>
      </c>
      <c r="AE873" s="63">
        <v>40352</v>
      </c>
      <c r="AF873" s="72"/>
      <c r="AG873" s="63" t="s">
        <v>938</v>
      </c>
      <c r="AH873" s="23" t="s">
        <v>939</v>
      </c>
      <c r="AI873" s="60"/>
      <c r="AJ873" s="133" t="s">
        <v>1608</v>
      </c>
      <c r="AK873" s="77" t="s">
        <v>1612</v>
      </c>
      <c r="AL873" s="3"/>
      <c r="AM873" s="4"/>
      <c r="AN873" s="5"/>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6"/>
      <c r="CO873" s="7"/>
      <c r="CP873" s="6"/>
      <c r="CQ873" s="7"/>
      <c r="CR873" s="6"/>
      <c r="CS873" s="7"/>
      <c r="CT873" s="8">
        <f t="shared" si="227"/>
        <v>0</v>
      </c>
      <c r="CU873" s="9"/>
      <c r="CV873" s="10"/>
      <c r="CW873" s="11"/>
      <c r="CX873" s="12"/>
      <c r="CY873" s="26"/>
      <c r="CZ873" s="12"/>
      <c r="DA873" s="9"/>
      <c r="DB873" s="10"/>
      <c r="DC873" s="64"/>
      <c r="DD873" s="22"/>
    </row>
    <row r="874" spans="1:108" s="119" customFormat="1" ht="24" outlineLevel="2">
      <c r="A874" s="178">
        <v>40435</v>
      </c>
      <c r="B874" s="174" t="s">
        <v>1665</v>
      </c>
      <c r="C874" s="174" t="s">
        <v>1124</v>
      </c>
      <c r="D874" s="179" t="s">
        <v>435</v>
      </c>
      <c r="E874" s="163"/>
      <c r="F874" s="105"/>
      <c r="G874" s="105"/>
      <c r="H874" s="105"/>
      <c r="I874" s="105"/>
      <c r="J874" s="105"/>
      <c r="K874" s="105"/>
      <c r="L874" s="105"/>
      <c r="M874" s="105"/>
      <c r="N874" s="105"/>
      <c r="O874" s="105"/>
      <c r="P874" s="105"/>
      <c r="Q874" s="105"/>
      <c r="R874" s="105">
        <v>1</v>
      </c>
      <c r="S874" s="105"/>
      <c r="T874" s="106"/>
      <c r="U874" s="130"/>
      <c r="V874" s="1"/>
      <c r="W874" s="68">
        <f t="shared" si="222"/>
        <v>0</v>
      </c>
      <c r="X874" s="68">
        <f t="shared" si="223"/>
        <v>0</v>
      </c>
      <c r="Y874" s="68">
        <f t="shared" si="224"/>
        <v>0</v>
      </c>
      <c r="Z874" s="68">
        <f t="shared" si="225"/>
        <v>0</v>
      </c>
      <c r="AA874" s="68"/>
      <c r="AB874" s="68">
        <v>0</v>
      </c>
      <c r="AC874" s="69">
        <f t="shared" si="226"/>
        <v>0</v>
      </c>
      <c r="AD874" s="70">
        <v>0</v>
      </c>
      <c r="AE874" s="63">
        <v>40441</v>
      </c>
      <c r="AF874" s="72"/>
      <c r="AG874" s="63" t="s">
        <v>938</v>
      </c>
      <c r="AH874" s="23" t="s">
        <v>939</v>
      </c>
      <c r="AI874" s="60"/>
      <c r="AJ874" s="124" t="s">
        <v>1608</v>
      </c>
      <c r="AK874" s="121" t="s">
        <v>1126</v>
      </c>
      <c r="AL874" s="107"/>
      <c r="AM874" s="108"/>
      <c r="AN874" s="109"/>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c r="BJ874" s="108"/>
      <c r="BK874" s="108"/>
      <c r="BL874" s="108"/>
      <c r="BM874" s="108"/>
      <c r="BN874" s="108"/>
      <c r="BO874" s="108"/>
      <c r="BP874" s="108"/>
      <c r="BQ874" s="108"/>
      <c r="BR874" s="108"/>
      <c r="BS874" s="108"/>
      <c r="BT874" s="108"/>
      <c r="BU874" s="108"/>
      <c r="BV874" s="108"/>
      <c r="BW874" s="108"/>
      <c r="BX874" s="108"/>
      <c r="BY874" s="108"/>
      <c r="BZ874" s="108"/>
      <c r="CA874" s="108"/>
      <c r="CB874" s="108"/>
      <c r="CC874" s="108"/>
      <c r="CD874" s="108"/>
      <c r="CE874" s="108"/>
      <c r="CF874" s="108"/>
      <c r="CG874" s="108"/>
      <c r="CH874" s="108"/>
      <c r="CI874" s="108"/>
      <c r="CJ874" s="108"/>
      <c r="CK874" s="108"/>
      <c r="CL874" s="108"/>
      <c r="CM874" s="108"/>
      <c r="CN874" s="110"/>
      <c r="CO874" s="111"/>
      <c r="CP874" s="110"/>
      <c r="CQ874" s="111"/>
      <c r="CR874" s="110"/>
      <c r="CS874" s="111"/>
      <c r="CT874" s="112">
        <f t="shared" si="227"/>
        <v>0</v>
      </c>
      <c r="CU874" s="113"/>
      <c r="CV874" s="114"/>
      <c r="CW874" s="115"/>
      <c r="CX874" s="116"/>
      <c r="CY874" s="117"/>
      <c r="CZ874" s="116"/>
      <c r="DA874" s="113"/>
      <c r="DB874" s="114"/>
      <c r="DC874" s="64"/>
      <c r="DD874" s="118"/>
    </row>
    <row r="875" spans="1:108" s="119" customFormat="1" ht="36" outlineLevel="2">
      <c r="A875" s="178">
        <v>40435</v>
      </c>
      <c r="B875" s="164" t="s">
        <v>1665</v>
      </c>
      <c r="C875" s="164" t="s">
        <v>1294</v>
      </c>
      <c r="D875" s="166" t="s">
        <v>435</v>
      </c>
      <c r="E875" s="163"/>
      <c r="F875" s="105"/>
      <c r="G875" s="105"/>
      <c r="H875" s="105"/>
      <c r="I875" s="105"/>
      <c r="J875" s="105"/>
      <c r="K875" s="105"/>
      <c r="L875" s="105"/>
      <c r="M875" s="105"/>
      <c r="N875" s="105"/>
      <c r="O875" s="105"/>
      <c r="P875" s="105"/>
      <c r="Q875" s="105"/>
      <c r="R875" s="105">
        <v>1</v>
      </c>
      <c r="S875" s="105"/>
      <c r="T875" s="106"/>
      <c r="U875" s="130"/>
      <c r="V875" s="1"/>
      <c r="W875" s="68">
        <f t="shared" si="222"/>
        <v>0</v>
      </c>
      <c r="X875" s="68">
        <f t="shared" si="223"/>
        <v>0</v>
      </c>
      <c r="Y875" s="68">
        <f t="shared" si="224"/>
        <v>0</v>
      </c>
      <c r="Z875" s="68">
        <f t="shared" si="225"/>
        <v>0</v>
      </c>
      <c r="AA875" s="68"/>
      <c r="AB875" s="68">
        <v>0</v>
      </c>
      <c r="AC875" s="69">
        <f t="shared" si="226"/>
        <v>0</v>
      </c>
      <c r="AD875" s="70">
        <v>0</v>
      </c>
      <c r="AE875" s="63">
        <v>40441</v>
      </c>
      <c r="AF875" s="72"/>
      <c r="AG875" s="63" t="s">
        <v>938</v>
      </c>
      <c r="AH875" s="23" t="s">
        <v>939</v>
      </c>
      <c r="AI875" s="60"/>
      <c r="AJ875" s="124" t="s">
        <v>1608</v>
      </c>
      <c r="AK875" s="121" t="s">
        <v>1295</v>
      </c>
      <c r="AL875" s="107"/>
      <c r="AM875" s="108"/>
      <c r="AN875" s="109"/>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c r="BJ875" s="108"/>
      <c r="BK875" s="108"/>
      <c r="BL875" s="108"/>
      <c r="BM875" s="108"/>
      <c r="BN875" s="108"/>
      <c r="BO875" s="108"/>
      <c r="BP875" s="108"/>
      <c r="BQ875" s="108"/>
      <c r="BR875" s="108"/>
      <c r="BS875" s="108"/>
      <c r="BT875" s="108"/>
      <c r="BU875" s="108"/>
      <c r="BV875" s="108"/>
      <c r="BW875" s="108"/>
      <c r="BX875" s="108"/>
      <c r="BY875" s="108"/>
      <c r="BZ875" s="108"/>
      <c r="CA875" s="108"/>
      <c r="CB875" s="108"/>
      <c r="CC875" s="108"/>
      <c r="CD875" s="108"/>
      <c r="CE875" s="108"/>
      <c r="CF875" s="108"/>
      <c r="CG875" s="108"/>
      <c r="CH875" s="108"/>
      <c r="CI875" s="108"/>
      <c r="CJ875" s="108"/>
      <c r="CK875" s="108"/>
      <c r="CL875" s="108"/>
      <c r="CM875" s="108"/>
      <c r="CN875" s="110"/>
      <c r="CO875" s="111"/>
      <c r="CP875" s="110"/>
      <c r="CQ875" s="111"/>
      <c r="CR875" s="110"/>
      <c r="CS875" s="111"/>
      <c r="CT875" s="112">
        <f t="shared" si="227"/>
        <v>0</v>
      </c>
      <c r="CU875" s="113"/>
      <c r="CV875" s="114"/>
      <c r="CW875" s="115"/>
      <c r="CX875" s="116"/>
      <c r="CY875" s="117"/>
      <c r="CZ875" s="116"/>
      <c r="DA875" s="113"/>
      <c r="DB875" s="114"/>
      <c r="DC875" s="64"/>
      <c r="DD875" s="118"/>
    </row>
    <row r="876" spans="1:108" s="119" customFormat="1" ht="36" outlineLevel="2">
      <c r="A876" s="178">
        <v>40435</v>
      </c>
      <c r="B876" s="174" t="s">
        <v>1665</v>
      </c>
      <c r="C876" s="174" t="s">
        <v>1123</v>
      </c>
      <c r="D876" s="179" t="s">
        <v>435</v>
      </c>
      <c r="E876" s="163"/>
      <c r="F876" s="105"/>
      <c r="G876" s="105"/>
      <c r="H876" s="105">
        <v>29</v>
      </c>
      <c r="I876" s="105">
        <v>5</v>
      </c>
      <c r="J876" s="105"/>
      <c r="K876" s="105">
        <v>5</v>
      </c>
      <c r="L876" s="105"/>
      <c r="M876" s="105"/>
      <c r="N876" s="105"/>
      <c r="O876" s="105"/>
      <c r="P876" s="105"/>
      <c r="Q876" s="105"/>
      <c r="R876" s="105">
        <v>1</v>
      </c>
      <c r="S876" s="105"/>
      <c r="T876" s="106"/>
      <c r="U876" s="130"/>
      <c r="V876" s="1"/>
      <c r="W876" s="68">
        <f t="shared" si="222"/>
        <v>0</v>
      </c>
      <c r="X876" s="68">
        <f t="shared" si="223"/>
        <v>0</v>
      </c>
      <c r="Y876" s="68">
        <f t="shared" si="224"/>
        <v>0</v>
      </c>
      <c r="Z876" s="68">
        <f t="shared" si="225"/>
        <v>0</v>
      </c>
      <c r="AA876" s="68"/>
      <c r="AB876" s="68">
        <v>0</v>
      </c>
      <c r="AC876" s="69">
        <f t="shared" si="226"/>
        <v>0</v>
      </c>
      <c r="AD876" s="70">
        <v>0</v>
      </c>
      <c r="AE876" s="63">
        <v>40441</v>
      </c>
      <c r="AF876" s="72"/>
      <c r="AG876" s="63" t="s">
        <v>938</v>
      </c>
      <c r="AH876" s="23" t="s">
        <v>939</v>
      </c>
      <c r="AI876" s="60"/>
      <c r="AJ876" s="124" t="s">
        <v>1608</v>
      </c>
      <c r="AK876" s="121" t="s">
        <v>1125</v>
      </c>
      <c r="AL876" s="107"/>
      <c r="AM876" s="108"/>
      <c r="AN876" s="109"/>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c r="BJ876" s="108"/>
      <c r="BK876" s="108"/>
      <c r="BL876" s="108"/>
      <c r="BM876" s="108"/>
      <c r="BN876" s="108"/>
      <c r="BO876" s="108"/>
      <c r="BP876" s="108"/>
      <c r="BQ876" s="108"/>
      <c r="BR876" s="108"/>
      <c r="BS876" s="108"/>
      <c r="BT876" s="108"/>
      <c r="BU876" s="108"/>
      <c r="BV876" s="108"/>
      <c r="BW876" s="108"/>
      <c r="BX876" s="108"/>
      <c r="BY876" s="108"/>
      <c r="BZ876" s="108"/>
      <c r="CA876" s="108"/>
      <c r="CB876" s="108"/>
      <c r="CC876" s="108"/>
      <c r="CD876" s="108"/>
      <c r="CE876" s="108"/>
      <c r="CF876" s="108"/>
      <c r="CG876" s="108"/>
      <c r="CH876" s="108"/>
      <c r="CI876" s="108"/>
      <c r="CJ876" s="108"/>
      <c r="CK876" s="108"/>
      <c r="CL876" s="108"/>
      <c r="CM876" s="108"/>
      <c r="CN876" s="110"/>
      <c r="CO876" s="111"/>
      <c r="CP876" s="110"/>
      <c r="CQ876" s="111"/>
      <c r="CR876" s="110"/>
      <c r="CS876" s="111"/>
      <c r="CT876" s="112">
        <f t="shared" si="227"/>
        <v>0</v>
      </c>
      <c r="CU876" s="113"/>
      <c r="CV876" s="114"/>
      <c r="CW876" s="115"/>
      <c r="CX876" s="116"/>
      <c r="CY876" s="117"/>
      <c r="CZ876" s="116"/>
      <c r="DA876" s="113"/>
      <c r="DB876" s="114"/>
      <c r="DC876" s="64"/>
      <c r="DD876" s="118"/>
    </row>
    <row r="877" spans="1:108" s="119" customFormat="1" ht="24" outlineLevel="2">
      <c r="A877" s="178">
        <v>40450</v>
      </c>
      <c r="B877" s="164" t="s">
        <v>1665</v>
      </c>
      <c r="C877" s="164" t="s">
        <v>1124</v>
      </c>
      <c r="D877" s="166" t="s">
        <v>435</v>
      </c>
      <c r="E877" s="163"/>
      <c r="F877" s="105"/>
      <c r="G877" s="105"/>
      <c r="H877" s="105"/>
      <c r="I877" s="105"/>
      <c r="J877" s="105"/>
      <c r="K877" s="105"/>
      <c r="L877" s="105"/>
      <c r="M877" s="105"/>
      <c r="N877" s="105"/>
      <c r="O877" s="105"/>
      <c r="P877" s="105"/>
      <c r="Q877" s="105"/>
      <c r="R877" s="105">
        <v>1</v>
      </c>
      <c r="S877" s="105"/>
      <c r="T877" s="106"/>
      <c r="U877" s="130"/>
      <c r="V877" s="1"/>
      <c r="W877" s="68">
        <f t="shared" si="222"/>
        <v>0</v>
      </c>
      <c r="X877" s="68">
        <f t="shared" si="223"/>
        <v>0</v>
      </c>
      <c r="Y877" s="68">
        <f t="shared" si="224"/>
        <v>0</v>
      </c>
      <c r="Z877" s="68">
        <f t="shared" si="225"/>
        <v>0</v>
      </c>
      <c r="AA877" s="68"/>
      <c r="AB877" s="68">
        <v>0</v>
      </c>
      <c r="AC877" s="69">
        <f t="shared" si="226"/>
        <v>0</v>
      </c>
      <c r="AD877" s="70">
        <v>0</v>
      </c>
      <c r="AE877" s="63">
        <v>40451</v>
      </c>
      <c r="AF877" s="72"/>
      <c r="AG877" s="63" t="s">
        <v>938</v>
      </c>
      <c r="AH877" s="23" t="s">
        <v>939</v>
      </c>
      <c r="AI877" s="60"/>
      <c r="AJ877" s="124" t="s">
        <v>1608</v>
      </c>
      <c r="AK877" s="121" t="s">
        <v>751</v>
      </c>
      <c r="AL877" s="107"/>
      <c r="AM877" s="108"/>
      <c r="AN877" s="109"/>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c r="BJ877" s="108"/>
      <c r="BK877" s="108"/>
      <c r="BL877" s="108"/>
      <c r="BM877" s="108"/>
      <c r="BN877" s="108"/>
      <c r="BO877" s="108"/>
      <c r="BP877" s="108"/>
      <c r="BQ877" s="108"/>
      <c r="BR877" s="108"/>
      <c r="BS877" s="108"/>
      <c r="BT877" s="108"/>
      <c r="BU877" s="108"/>
      <c r="BV877" s="108"/>
      <c r="BW877" s="108"/>
      <c r="BX877" s="108"/>
      <c r="BY877" s="108"/>
      <c r="BZ877" s="108"/>
      <c r="CA877" s="108"/>
      <c r="CB877" s="108"/>
      <c r="CC877" s="108"/>
      <c r="CD877" s="108"/>
      <c r="CE877" s="108"/>
      <c r="CF877" s="108"/>
      <c r="CG877" s="108"/>
      <c r="CH877" s="108"/>
      <c r="CI877" s="108"/>
      <c r="CJ877" s="108"/>
      <c r="CK877" s="108"/>
      <c r="CL877" s="108"/>
      <c r="CM877" s="108"/>
      <c r="CN877" s="110"/>
      <c r="CO877" s="111"/>
      <c r="CP877" s="110"/>
      <c r="CQ877" s="111"/>
      <c r="CR877" s="110"/>
      <c r="CS877" s="111"/>
      <c r="CT877" s="112">
        <f t="shared" si="227"/>
        <v>0</v>
      </c>
      <c r="CU877" s="113"/>
      <c r="CV877" s="114"/>
      <c r="CW877" s="115"/>
      <c r="CX877" s="116"/>
      <c r="CY877" s="117"/>
      <c r="CZ877" s="116"/>
      <c r="DA877" s="113"/>
      <c r="DB877" s="114"/>
      <c r="DC877" s="64"/>
      <c r="DD877" s="118"/>
    </row>
    <row r="878" spans="1:108" s="119" customFormat="1" ht="24" outlineLevel="2">
      <c r="A878" s="178">
        <v>40450</v>
      </c>
      <c r="B878" s="164" t="s">
        <v>1665</v>
      </c>
      <c r="C878" s="164" t="s">
        <v>759</v>
      </c>
      <c r="D878" s="166" t="s">
        <v>435</v>
      </c>
      <c r="E878" s="163"/>
      <c r="F878" s="105"/>
      <c r="G878" s="105"/>
      <c r="H878" s="105">
        <v>105</v>
      </c>
      <c r="I878" s="105">
        <v>21</v>
      </c>
      <c r="J878" s="105"/>
      <c r="K878" s="105">
        <v>21</v>
      </c>
      <c r="L878" s="105"/>
      <c r="M878" s="105"/>
      <c r="N878" s="105"/>
      <c r="O878" s="105"/>
      <c r="P878" s="105"/>
      <c r="Q878" s="105"/>
      <c r="R878" s="105">
        <v>2</v>
      </c>
      <c r="S878" s="105"/>
      <c r="T878" s="106"/>
      <c r="U878" s="130" t="s">
        <v>761</v>
      </c>
      <c r="V878" s="1"/>
      <c r="W878" s="68">
        <f t="shared" si="222"/>
        <v>0</v>
      </c>
      <c r="X878" s="68">
        <f t="shared" si="223"/>
        <v>0</v>
      </c>
      <c r="Y878" s="68">
        <f t="shared" si="224"/>
        <v>0</v>
      </c>
      <c r="Z878" s="68">
        <f t="shared" si="225"/>
        <v>0</v>
      </c>
      <c r="AA878" s="68"/>
      <c r="AB878" s="68">
        <v>0</v>
      </c>
      <c r="AC878" s="69">
        <f t="shared" si="226"/>
        <v>0</v>
      </c>
      <c r="AD878" s="70">
        <v>0</v>
      </c>
      <c r="AE878" s="63">
        <v>40455</v>
      </c>
      <c r="AF878" s="72"/>
      <c r="AG878" s="63" t="s">
        <v>938</v>
      </c>
      <c r="AH878" s="23" t="s">
        <v>939</v>
      </c>
      <c r="AI878" s="60"/>
      <c r="AJ878" s="124" t="s">
        <v>1608</v>
      </c>
      <c r="AK878" s="121" t="s">
        <v>760</v>
      </c>
      <c r="AL878" s="107"/>
      <c r="AM878" s="108"/>
      <c r="AN878" s="109"/>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c r="BJ878" s="108"/>
      <c r="BK878" s="108"/>
      <c r="BL878" s="108"/>
      <c r="BM878" s="108"/>
      <c r="BN878" s="108"/>
      <c r="BO878" s="108"/>
      <c r="BP878" s="108"/>
      <c r="BQ878" s="108"/>
      <c r="BR878" s="108"/>
      <c r="BS878" s="108"/>
      <c r="BT878" s="108"/>
      <c r="BU878" s="108"/>
      <c r="BV878" s="108"/>
      <c r="BW878" s="108"/>
      <c r="BX878" s="108"/>
      <c r="BY878" s="108"/>
      <c r="BZ878" s="108"/>
      <c r="CA878" s="108"/>
      <c r="CB878" s="108"/>
      <c r="CC878" s="108"/>
      <c r="CD878" s="108"/>
      <c r="CE878" s="108"/>
      <c r="CF878" s="108"/>
      <c r="CG878" s="108"/>
      <c r="CH878" s="108"/>
      <c r="CI878" s="108"/>
      <c r="CJ878" s="108"/>
      <c r="CK878" s="108"/>
      <c r="CL878" s="108"/>
      <c r="CM878" s="108"/>
      <c r="CN878" s="110"/>
      <c r="CO878" s="111"/>
      <c r="CP878" s="110"/>
      <c r="CQ878" s="111"/>
      <c r="CR878" s="110"/>
      <c r="CS878" s="111"/>
      <c r="CT878" s="112">
        <f t="shared" si="227"/>
        <v>0</v>
      </c>
      <c r="CU878" s="113"/>
      <c r="CV878" s="114"/>
      <c r="CW878" s="115"/>
      <c r="CX878" s="116"/>
      <c r="CY878" s="117"/>
      <c r="CZ878" s="116"/>
      <c r="DA878" s="113"/>
      <c r="DB878" s="114"/>
      <c r="DC878" s="64"/>
      <c r="DD878" s="118"/>
    </row>
    <row r="879" spans="1:108" s="119" customFormat="1" ht="36" outlineLevel="2">
      <c r="A879" s="178">
        <v>40460</v>
      </c>
      <c r="B879" s="164" t="s">
        <v>1665</v>
      </c>
      <c r="C879" s="164" t="s">
        <v>146</v>
      </c>
      <c r="D879" s="166" t="s">
        <v>1262</v>
      </c>
      <c r="E879" s="163"/>
      <c r="F879" s="105"/>
      <c r="G879" s="105"/>
      <c r="H879" s="105">
        <v>46</v>
      </c>
      <c r="I879" s="105">
        <v>9</v>
      </c>
      <c r="J879" s="105"/>
      <c r="K879" s="105">
        <v>8</v>
      </c>
      <c r="L879" s="105"/>
      <c r="M879" s="105"/>
      <c r="N879" s="105"/>
      <c r="O879" s="105"/>
      <c r="P879" s="105"/>
      <c r="Q879" s="105"/>
      <c r="R879" s="105"/>
      <c r="S879" s="105"/>
      <c r="T879" s="106"/>
      <c r="U879" s="130"/>
      <c r="V879" s="1"/>
      <c r="W879" s="68">
        <f t="shared" si="222"/>
        <v>0</v>
      </c>
      <c r="X879" s="68">
        <f t="shared" si="223"/>
        <v>0</v>
      </c>
      <c r="Y879" s="68">
        <f t="shared" si="224"/>
        <v>0</v>
      </c>
      <c r="Z879" s="68">
        <f t="shared" si="225"/>
        <v>0</v>
      </c>
      <c r="AA879" s="68"/>
      <c r="AB879" s="68">
        <v>0</v>
      </c>
      <c r="AC879" s="69">
        <f t="shared" si="226"/>
        <v>0</v>
      </c>
      <c r="AD879" s="70">
        <v>0</v>
      </c>
      <c r="AE879" s="63"/>
      <c r="AF879" s="72"/>
      <c r="AG879" s="63"/>
      <c r="AH879" s="23"/>
      <c r="AI879" s="60"/>
      <c r="AJ879" s="124"/>
      <c r="AK879" s="121" t="s">
        <v>153</v>
      </c>
      <c r="AL879" s="107"/>
      <c r="AM879" s="108"/>
      <c r="AN879" s="109"/>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c r="BJ879" s="108"/>
      <c r="BK879" s="108"/>
      <c r="BL879" s="108"/>
      <c r="BM879" s="108"/>
      <c r="BN879" s="108"/>
      <c r="BO879" s="108"/>
      <c r="BP879" s="108"/>
      <c r="BQ879" s="108"/>
      <c r="BR879" s="108"/>
      <c r="BS879" s="108"/>
      <c r="BT879" s="108"/>
      <c r="BU879" s="108"/>
      <c r="BV879" s="108"/>
      <c r="BW879" s="108"/>
      <c r="BX879" s="108"/>
      <c r="BY879" s="108"/>
      <c r="BZ879" s="108"/>
      <c r="CA879" s="108"/>
      <c r="CB879" s="108"/>
      <c r="CC879" s="108"/>
      <c r="CD879" s="108"/>
      <c r="CE879" s="108"/>
      <c r="CF879" s="108"/>
      <c r="CG879" s="108"/>
      <c r="CH879" s="108"/>
      <c r="CI879" s="108"/>
      <c r="CJ879" s="108"/>
      <c r="CK879" s="108"/>
      <c r="CL879" s="108"/>
      <c r="CM879" s="108"/>
      <c r="CN879" s="110"/>
      <c r="CO879" s="111"/>
      <c r="CP879" s="110"/>
      <c r="CQ879" s="111"/>
      <c r="CR879" s="110"/>
      <c r="CS879" s="111"/>
      <c r="CT879" s="112">
        <f t="shared" si="227"/>
        <v>0</v>
      </c>
      <c r="CU879" s="113"/>
      <c r="CV879" s="114"/>
      <c r="CW879" s="115"/>
      <c r="CX879" s="116"/>
      <c r="CY879" s="117"/>
      <c r="CZ879" s="116"/>
      <c r="DA879" s="113"/>
      <c r="DB879" s="114"/>
      <c r="DC879" s="64"/>
      <c r="DD879" s="118"/>
    </row>
    <row r="880" spans="1:108" s="119" customFormat="1" outlineLevel="2">
      <c r="A880" s="178">
        <v>40460</v>
      </c>
      <c r="B880" s="164" t="s">
        <v>1665</v>
      </c>
      <c r="C880" s="164" t="s">
        <v>146</v>
      </c>
      <c r="D880" s="166" t="s">
        <v>435</v>
      </c>
      <c r="E880" s="163"/>
      <c r="F880" s="105"/>
      <c r="G880" s="105"/>
      <c r="H880" s="105">
        <v>12</v>
      </c>
      <c r="I880" s="105">
        <v>1</v>
      </c>
      <c r="J880" s="105"/>
      <c r="K880" s="105">
        <v>1</v>
      </c>
      <c r="L880" s="105"/>
      <c r="M880" s="105"/>
      <c r="N880" s="105"/>
      <c r="O880" s="105"/>
      <c r="P880" s="105"/>
      <c r="Q880" s="105"/>
      <c r="R880" s="105"/>
      <c r="S880" s="105"/>
      <c r="T880" s="106"/>
      <c r="U880" s="130"/>
      <c r="V880" s="1"/>
      <c r="W880" s="68">
        <f t="shared" si="222"/>
        <v>0</v>
      </c>
      <c r="X880" s="68">
        <f t="shared" si="223"/>
        <v>0</v>
      </c>
      <c r="Y880" s="68">
        <f t="shared" si="224"/>
        <v>0</v>
      </c>
      <c r="Z880" s="68">
        <f t="shared" si="225"/>
        <v>0</v>
      </c>
      <c r="AA880" s="68"/>
      <c r="AB880" s="68">
        <v>0</v>
      </c>
      <c r="AC880" s="69">
        <f t="shared" si="226"/>
        <v>0</v>
      </c>
      <c r="AD880" s="70">
        <v>0</v>
      </c>
      <c r="AE880" s="63"/>
      <c r="AF880" s="72"/>
      <c r="AG880" s="63"/>
      <c r="AH880" s="23"/>
      <c r="AI880" s="60"/>
      <c r="AJ880" s="124"/>
      <c r="AK880" s="121" t="s">
        <v>147</v>
      </c>
      <c r="AL880" s="107"/>
      <c r="AM880" s="108"/>
      <c r="AN880" s="109"/>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c r="BJ880" s="108"/>
      <c r="BK880" s="108"/>
      <c r="BL880" s="108"/>
      <c r="BM880" s="108"/>
      <c r="BN880" s="108"/>
      <c r="BO880" s="108"/>
      <c r="BP880" s="108"/>
      <c r="BQ880" s="108"/>
      <c r="BR880" s="108"/>
      <c r="BS880" s="108"/>
      <c r="BT880" s="108"/>
      <c r="BU880" s="108"/>
      <c r="BV880" s="108"/>
      <c r="BW880" s="108"/>
      <c r="BX880" s="108"/>
      <c r="BY880" s="108"/>
      <c r="BZ880" s="108"/>
      <c r="CA880" s="108"/>
      <c r="CB880" s="108"/>
      <c r="CC880" s="108"/>
      <c r="CD880" s="108"/>
      <c r="CE880" s="108"/>
      <c r="CF880" s="108"/>
      <c r="CG880" s="108"/>
      <c r="CH880" s="108"/>
      <c r="CI880" s="108"/>
      <c r="CJ880" s="108"/>
      <c r="CK880" s="108"/>
      <c r="CL880" s="108"/>
      <c r="CM880" s="108"/>
      <c r="CN880" s="110"/>
      <c r="CO880" s="111"/>
      <c r="CP880" s="110"/>
      <c r="CQ880" s="111"/>
      <c r="CR880" s="110"/>
      <c r="CS880" s="111"/>
      <c r="CT880" s="112">
        <f t="shared" si="227"/>
        <v>0</v>
      </c>
      <c r="CU880" s="113"/>
      <c r="CV880" s="114"/>
      <c r="CW880" s="115"/>
      <c r="CX880" s="116"/>
      <c r="CY880" s="117"/>
      <c r="CZ880" s="116"/>
      <c r="DA880" s="113"/>
      <c r="DB880" s="114"/>
      <c r="DC880" s="64"/>
      <c r="DD880" s="118"/>
    </row>
    <row r="881" spans="1:108" s="119" customFormat="1" ht="22.5" outlineLevel="2">
      <c r="A881" s="178">
        <v>40463</v>
      </c>
      <c r="B881" s="164" t="s">
        <v>1665</v>
      </c>
      <c r="C881" s="164" t="s">
        <v>145</v>
      </c>
      <c r="D881" s="166" t="s">
        <v>435</v>
      </c>
      <c r="E881" s="163"/>
      <c r="F881" s="105"/>
      <c r="G881" s="105"/>
      <c r="H881" s="105">
        <v>50</v>
      </c>
      <c r="I881" s="105">
        <v>10</v>
      </c>
      <c r="J881" s="105"/>
      <c r="K881" s="105">
        <v>10</v>
      </c>
      <c r="L881" s="105"/>
      <c r="M881" s="105"/>
      <c r="N881" s="105"/>
      <c r="O881" s="105"/>
      <c r="P881" s="105"/>
      <c r="Q881" s="105"/>
      <c r="R881" s="105">
        <v>2</v>
      </c>
      <c r="S881" s="105"/>
      <c r="T881" s="106"/>
      <c r="U881" s="130"/>
      <c r="V881" s="1"/>
      <c r="W881" s="68">
        <f t="shared" si="222"/>
        <v>0</v>
      </c>
      <c r="X881" s="68">
        <f t="shared" si="223"/>
        <v>0</v>
      </c>
      <c r="Y881" s="68">
        <f t="shared" si="224"/>
        <v>0</v>
      </c>
      <c r="Z881" s="68">
        <f t="shared" si="225"/>
        <v>0</v>
      </c>
      <c r="AA881" s="68"/>
      <c r="AB881" s="68">
        <v>0</v>
      </c>
      <c r="AC881" s="69">
        <f t="shared" si="226"/>
        <v>0</v>
      </c>
      <c r="AD881" s="70">
        <v>0</v>
      </c>
      <c r="AE881" s="63"/>
      <c r="AF881" s="72"/>
      <c r="AG881" s="63"/>
      <c r="AH881" s="23"/>
      <c r="AI881" s="60"/>
      <c r="AJ881" s="124"/>
      <c r="AK881" s="121" t="s">
        <v>41</v>
      </c>
      <c r="AL881" s="107"/>
      <c r="AM881" s="108"/>
      <c r="AN881" s="109"/>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c r="BJ881" s="108"/>
      <c r="BK881" s="108"/>
      <c r="BL881" s="108"/>
      <c r="BM881" s="108"/>
      <c r="BN881" s="108"/>
      <c r="BO881" s="108"/>
      <c r="BP881" s="108"/>
      <c r="BQ881" s="108"/>
      <c r="BR881" s="108"/>
      <c r="BS881" s="108"/>
      <c r="BT881" s="108"/>
      <c r="BU881" s="108"/>
      <c r="BV881" s="108"/>
      <c r="BW881" s="108"/>
      <c r="BX881" s="108"/>
      <c r="BY881" s="108"/>
      <c r="BZ881" s="108"/>
      <c r="CA881" s="108"/>
      <c r="CB881" s="108"/>
      <c r="CC881" s="108"/>
      <c r="CD881" s="108"/>
      <c r="CE881" s="108"/>
      <c r="CF881" s="108"/>
      <c r="CG881" s="108"/>
      <c r="CH881" s="108"/>
      <c r="CI881" s="108"/>
      <c r="CJ881" s="108"/>
      <c r="CK881" s="108"/>
      <c r="CL881" s="108"/>
      <c r="CM881" s="108"/>
      <c r="CN881" s="110"/>
      <c r="CO881" s="111"/>
      <c r="CP881" s="110"/>
      <c r="CQ881" s="111"/>
      <c r="CR881" s="110"/>
      <c r="CS881" s="111"/>
      <c r="CT881" s="112">
        <f t="shared" si="227"/>
        <v>0</v>
      </c>
      <c r="CU881" s="113"/>
      <c r="CV881" s="114"/>
      <c r="CW881" s="115"/>
      <c r="CX881" s="116"/>
      <c r="CY881" s="117"/>
      <c r="CZ881" s="116"/>
      <c r="DA881" s="113"/>
      <c r="DB881" s="114"/>
      <c r="DC881" s="64"/>
      <c r="DD881" s="118"/>
    </row>
    <row r="882" spans="1:108" s="119" customFormat="1" outlineLevel="2">
      <c r="A882" s="178">
        <v>40467</v>
      </c>
      <c r="B882" s="164" t="s">
        <v>1665</v>
      </c>
      <c r="C882" s="164" t="s">
        <v>1123</v>
      </c>
      <c r="D882" s="166" t="s">
        <v>435</v>
      </c>
      <c r="E882" s="163"/>
      <c r="F882" s="105"/>
      <c r="G882" s="105"/>
      <c r="H882" s="105">
        <v>8</v>
      </c>
      <c r="I882" s="105">
        <v>1</v>
      </c>
      <c r="J882" s="105"/>
      <c r="K882" s="105">
        <v>1</v>
      </c>
      <c r="L882" s="105"/>
      <c r="M882" s="105"/>
      <c r="N882" s="105"/>
      <c r="O882" s="105"/>
      <c r="P882" s="105"/>
      <c r="Q882" s="105"/>
      <c r="R882" s="105"/>
      <c r="S882" s="105"/>
      <c r="T882" s="106"/>
      <c r="U882" s="130"/>
      <c r="V882" s="1"/>
      <c r="W882" s="68">
        <f t="shared" si="222"/>
        <v>0</v>
      </c>
      <c r="X882" s="68">
        <f t="shared" si="223"/>
        <v>0</v>
      </c>
      <c r="Y882" s="68">
        <f t="shared" si="224"/>
        <v>0</v>
      </c>
      <c r="Z882" s="68">
        <f t="shared" si="225"/>
        <v>0</v>
      </c>
      <c r="AA882" s="68"/>
      <c r="AB882" s="68">
        <v>0</v>
      </c>
      <c r="AC882" s="69">
        <f t="shared" si="226"/>
        <v>0</v>
      </c>
      <c r="AD882" s="70">
        <v>0</v>
      </c>
      <c r="AE882" s="63">
        <v>40471</v>
      </c>
      <c r="AF882" s="72"/>
      <c r="AG882" s="63" t="s">
        <v>938</v>
      </c>
      <c r="AH882" s="23" t="s">
        <v>939</v>
      </c>
      <c r="AI882" s="60"/>
      <c r="AJ882" s="124" t="s">
        <v>1608</v>
      </c>
      <c r="AK882" s="121" t="s">
        <v>2316</v>
      </c>
      <c r="AL882" s="107"/>
      <c r="AM882" s="108"/>
      <c r="AN882" s="109"/>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c r="BJ882" s="108"/>
      <c r="BK882" s="108"/>
      <c r="BL882" s="108"/>
      <c r="BM882" s="108"/>
      <c r="BN882" s="108"/>
      <c r="BO882" s="108"/>
      <c r="BP882" s="108"/>
      <c r="BQ882" s="108"/>
      <c r="BR882" s="108"/>
      <c r="BS882" s="108"/>
      <c r="BT882" s="108"/>
      <c r="BU882" s="108"/>
      <c r="BV882" s="108"/>
      <c r="BW882" s="108"/>
      <c r="BX882" s="108"/>
      <c r="BY882" s="108"/>
      <c r="BZ882" s="108"/>
      <c r="CA882" s="108"/>
      <c r="CB882" s="108"/>
      <c r="CC882" s="108"/>
      <c r="CD882" s="108"/>
      <c r="CE882" s="108"/>
      <c r="CF882" s="108"/>
      <c r="CG882" s="108"/>
      <c r="CH882" s="108"/>
      <c r="CI882" s="108"/>
      <c r="CJ882" s="108"/>
      <c r="CK882" s="108"/>
      <c r="CL882" s="108"/>
      <c r="CM882" s="108"/>
      <c r="CN882" s="110"/>
      <c r="CO882" s="111"/>
      <c r="CP882" s="110"/>
      <c r="CQ882" s="111"/>
      <c r="CR882" s="110"/>
      <c r="CS882" s="111"/>
      <c r="CT882" s="112">
        <f t="shared" si="227"/>
        <v>0</v>
      </c>
      <c r="CU882" s="113"/>
      <c r="CV882" s="114"/>
      <c r="CW882" s="115"/>
      <c r="CX882" s="116"/>
      <c r="CY882" s="117"/>
      <c r="CZ882" s="116"/>
      <c r="DA882" s="113"/>
      <c r="DB882" s="114"/>
      <c r="DC882" s="64"/>
      <c r="DD882" s="118"/>
    </row>
    <row r="883" spans="1:108" s="119" customFormat="1" outlineLevel="2">
      <c r="A883" s="178">
        <v>40470</v>
      </c>
      <c r="B883" s="164" t="s">
        <v>1665</v>
      </c>
      <c r="C883" s="164" t="s">
        <v>1915</v>
      </c>
      <c r="D883" s="166" t="s">
        <v>1182</v>
      </c>
      <c r="E883" s="163"/>
      <c r="F883" s="105"/>
      <c r="G883" s="105"/>
      <c r="H883" s="105">
        <v>5</v>
      </c>
      <c r="I883" s="105">
        <v>1</v>
      </c>
      <c r="J883" s="105"/>
      <c r="K883" s="105">
        <v>1</v>
      </c>
      <c r="L883" s="105"/>
      <c r="M883" s="105"/>
      <c r="N883" s="105"/>
      <c r="O883" s="105"/>
      <c r="P883" s="105"/>
      <c r="Q883" s="105"/>
      <c r="R883" s="105"/>
      <c r="S883" s="105"/>
      <c r="T883" s="106"/>
      <c r="U883" s="130"/>
      <c r="V883" s="1"/>
      <c r="W883" s="68">
        <f t="shared" si="222"/>
        <v>0</v>
      </c>
      <c r="X883" s="68">
        <f t="shared" si="223"/>
        <v>0</v>
      </c>
      <c r="Y883" s="68">
        <f t="shared" si="224"/>
        <v>0</v>
      </c>
      <c r="Z883" s="68">
        <f t="shared" si="225"/>
        <v>0</v>
      </c>
      <c r="AA883" s="68"/>
      <c r="AB883" s="68">
        <v>0</v>
      </c>
      <c r="AC883" s="69">
        <f t="shared" si="226"/>
        <v>0</v>
      </c>
      <c r="AD883" s="70">
        <v>0</v>
      </c>
      <c r="AE883" s="63"/>
      <c r="AF883" s="72"/>
      <c r="AG883" s="63"/>
      <c r="AH883" s="23"/>
      <c r="AI883" s="60"/>
      <c r="AJ883" s="124"/>
      <c r="AK883" s="121" t="s">
        <v>141</v>
      </c>
      <c r="AL883" s="107"/>
      <c r="AM883" s="108"/>
      <c r="AN883" s="109"/>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c r="BJ883" s="108"/>
      <c r="BK883" s="108"/>
      <c r="BL883" s="108"/>
      <c r="BM883" s="108"/>
      <c r="BN883" s="108"/>
      <c r="BO883" s="108"/>
      <c r="BP883" s="108"/>
      <c r="BQ883" s="108"/>
      <c r="BR883" s="108"/>
      <c r="BS883" s="108"/>
      <c r="BT883" s="108"/>
      <c r="BU883" s="108"/>
      <c r="BV883" s="108"/>
      <c r="BW883" s="108"/>
      <c r="BX883" s="108"/>
      <c r="BY883" s="108"/>
      <c r="BZ883" s="108"/>
      <c r="CA883" s="108"/>
      <c r="CB883" s="108"/>
      <c r="CC883" s="108"/>
      <c r="CD883" s="108"/>
      <c r="CE883" s="108"/>
      <c r="CF883" s="108"/>
      <c r="CG883" s="108"/>
      <c r="CH883" s="108"/>
      <c r="CI883" s="108"/>
      <c r="CJ883" s="108"/>
      <c r="CK883" s="108"/>
      <c r="CL883" s="108"/>
      <c r="CM883" s="108"/>
      <c r="CN883" s="110"/>
      <c r="CO883" s="111"/>
      <c r="CP883" s="110"/>
      <c r="CQ883" s="111"/>
      <c r="CR883" s="110"/>
      <c r="CS883" s="111"/>
      <c r="CT883" s="112">
        <f t="shared" si="227"/>
        <v>0</v>
      </c>
      <c r="CU883" s="113"/>
      <c r="CV883" s="114"/>
      <c r="CW883" s="115"/>
      <c r="CX883" s="116"/>
      <c r="CY883" s="117"/>
      <c r="CZ883" s="116"/>
      <c r="DA883" s="113"/>
      <c r="DB883" s="114"/>
      <c r="DC883" s="64"/>
      <c r="DD883" s="118"/>
    </row>
    <row r="884" spans="1:108" s="119" customFormat="1" ht="24" outlineLevel="2">
      <c r="A884" s="178">
        <v>40470</v>
      </c>
      <c r="B884" s="164" t="s">
        <v>1665</v>
      </c>
      <c r="C884" s="164" t="s">
        <v>1123</v>
      </c>
      <c r="D884" s="166" t="s">
        <v>1262</v>
      </c>
      <c r="E884" s="163"/>
      <c r="F884" s="105"/>
      <c r="G884" s="105"/>
      <c r="H884" s="105">
        <v>11</v>
      </c>
      <c r="I884" s="105">
        <v>2</v>
      </c>
      <c r="J884" s="105"/>
      <c r="K884" s="105">
        <v>2</v>
      </c>
      <c r="L884" s="105"/>
      <c r="M884" s="105"/>
      <c r="N884" s="105"/>
      <c r="O884" s="105"/>
      <c r="P884" s="105"/>
      <c r="Q884" s="105"/>
      <c r="R884" s="105"/>
      <c r="S884" s="105"/>
      <c r="T884" s="106"/>
      <c r="U884" s="130"/>
      <c r="V884" s="1"/>
      <c r="W884" s="68">
        <f t="shared" si="222"/>
        <v>0</v>
      </c>
      <c r="X884" s="68">
        <f t="shared" si="223"/>
        <v>0</v>
      </c>
      <c r="Y884" s="68">
        <f t="shared" si="224"/>
        <v>0</v>
      </c>
      <c r="Z884" s="68">
        <f t="shared" si="225"/>
        <v>0</v>
      </c>
      <c r="AA884" s="68"/>
      <c r="AB884" s="68">
        <v>0</v>
      </c>
      <c r="AC884" s="69">
        <f t="shared" si="226"/>
        <v>0</v>
      </c>
      <c r="AD884" s="70">
        <v>0</v>
      </c>
      <c r="AE884" s="63"/>
      <c r="AF884" s="72"/>
      <c r="AG884" s="63"/>
      <c r="AH884" s="23"/>
      <c r="AI884" s="60"/>
      <c r="AJ884" s="124"/>
      <c r="AK884" s="121" t="s">
        <v>144</v>
      </c>
      <c r="AL884" s="107"/>
      <c r="AM884" s="108"/>
      <c r="AN884" s="109"/>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c r="BJ884" s="108"/>
      <c r="BK884" s="108"/>
      <c r="BL884" s="108"/>
      <c r="BM884" s="108"/>
      <c r="BN884" s="108"/>
      <c r="BO884" s="108"/>
      <c r="BP884" s="108"/>
      <c r="BQ884" s="108"/>
      <c r="BR884" s="108"/>
      <c r="BS884" s="108"/>
      <c r="BT884" s="108"/>
      <c r="BU884" s="108"/>
      <c r="BV884" s="108"/>
      <c r="BW884" s="108"/>
      <c r="BX884" s="108"/>
      <c r="BY884" s="108"/>
      <c r="BZ884" s="108"/>
      <c r="CA884" s="108"/>
      <c r="CB884" s="108"/>
      <c r="CC884" s="108"/>
      <c r="CD884" s="108"/>
      <c r="CE884" s="108"/>
      <c r="CF884" s="108"/>
      <c r="CG884" s="108"/>
      <c r="CH884" s="108"/>
      <c r="CI884" s="108"/>
      <c r="CJ884" s="108"/>
      <c r="CK884" s="108"/>
      <c r="CL884" s="108"/>
      <c r="CM884" s="108"/>
      <c r="CN884" s="110"/>
      <c r="CO884" s="111"/>
      <c r="CP884" s="110"/>
      <c r="CQ884" s="111"/>
      <c r="CR884" s="110"/>
      <c r="CS884" s="111"/>
      <c r="CT884" s="112">
        <f t="shared" si="227"/>
        <v>0</v>
      </c>
      <c r="CU884" s="113"/>
      <c r="CV884" s="114"/>
      <c r="CW884" s="115"/>
      <c r="CX884" s="116"/>
      <c r="CY884" s="117"/>
      <c r="CZ884" s="116"/>
      <c r="DA884" s="113"/>
      <c r="DB884" s="114"/>
      <c r="DC884" s="64"/>
      <c r="DD884" s="118"/>
    </row>
    <row r="885" spans="1:108" s="119" customFormat="1" ht="60" outlineLevel="2">
      <c r="A885" s="178">
        <v>40473</v>
      </c>
      <c r="B885" s="164" t="s">
        <v>1665</v>
      </c>
      <c r="C885" s="164" t="s">
        <v>1915</v>
      </c>
      <c r="D885" s="166" t="s">
        <v>1262</v>
      </c>
      <c r="E885" s="163"/>
      <c r="F885" s="105"/>
      <c r="G885" s="105"/>
      <c r="H885" s="105">
        <v>70</v>
      </c>
      <c r="I885" s="105">
        <v>14</v>
      </c>
      <c r="J885" s="105"/>
      <c r="K885" s="105">
        <v>14</v>
      </c>
      <c r="L885" s="105"/>
      <c r="M885" s="105"/>
      <c r="N885" s="105"/>
      <c r="O885" s="105"/>
      <c r="P885" s="105"/>
      <c r="Q885" s="105"/>
      <c r="R885" s="105"/>
      <c r="S885" s="105"/>
      <c r="T885" s="106"/>
      <c r="U885" s="130"/>
      <c r="V885" s="1"/>
      <c r="W885" s="68">
        <f t="shared" si="222"/>
        <v>0</v>
      </c>
      <c r="X885" s="68">
        <f t="shared" si="223"/>
        <v>0</v>
      </c>
      <c r="Y885" s="68">
        <f t="shared" si="224"/>
        <v>0</v>
      </c>
      <c r="Z885" s="68">
        <f t="shared" si="225"/>
        <v>0</v>
      </c>
      <c r="AA885" s="68"/>
      <c r="AB885" s="68">
        <v>0</v>
      </c>
      <c r="AC885" s="69">
        <f t="shared" si="226"/>
        <v>0</v>
      </c>
      <c r="AD885" s="70">
        <v>0</v>
      </c>
      <c r="AE885" s="63">
        <v>40476</v>
      </c>
      <c r="AF885" s="72"/>
      <c r="AG885" s="63" t="s">
        <v>938</v>
      </c>
      <c r="AH885" s="23" t="s">
        <v>939</v>
      </c>
      <c r="AI885" s="60"/>
      <c r="AJ885" s="124" t="s">
        <v>1608</v>
      </c>
      <c r="AK885" s="121" t="s">
        <v>140</v>
      </c>
      <c r="AL885" s="107"/>
      <c r="AM885" s="108"/>
      <c r="AN885" s="109"/>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c r="BJ885" s="108"/>
      <c r="BK885" s="108"/>
      <c r="BL885" s="108"/>
      <c r="BM885" s="108"/>
      <c r="BN885" s="108"/>
      <c r="BO885" s="108"/>
      <c r="BP885" s="108"/>
      <c r="BQ885" s="108"/>
      <c r="BR885" s="108"/>
      <c r="BS885" s="108"/>
      <c r="BT885" s="108"/>
      <c r="BU885" s="108"/>
      <c r="BV885" s="108"/>
      <c r="BW885" s="108"/>
      <c r="BX885" s="108"/>
      <c r="BY885" s="108"/>
      <c r="BZ885" s="108"/>
      <c r="CA885" s="108"/>
      <c r="CB885" s="108"/>
      <c r="CC885" s="108"/>
      <c r="CD885" s="108"/>
      <c r="CE885" s="108"/>
      <c r="CF885" s="108"/>
      <c r="CG885" s="108"/>
      <c r="CH885" s="108"/>
      <c r="CI885" s="108"/>
      <c r="CJ885" s="108"/>
      <c r="CK885" s="108"/>
      <c r="CL885" s="108"/>
      <c r="CM885" s="108"/>
      <c r="CN885" s="110"/>
      <c r="CO885" s="111"/>
      <c r="CP885" s="110"/>
      <c r="CQ885" s="111"/>
      <c r="CR885" s="110"/>
      <c r="CS885" s="111"/>
      <c r="CT885" s="112">
        <f t="shared" si="227"/>
        <v>0</v>
      </c>
      <c r="CU885" s="113"/>
      <c r="CV885" s="114"/>
      <c r="CW885" s="115"/>
      <c r="CX885" s="116"/>
      <c r="CY885" s="117"/>
      <c r="CZ885" s="116"/>
      <c r="DA885" s="113"/>
      <c r="DB885" s="114"/>
      <c r="DC885" s="64"/>
      <c r="DD885" s="118"/>
    </row>
    <row r="886" spans="1:108" s="119" customFormat="1" outlineLevel="2">
      <c r="A886" s="178">
        <v>40485</v>
      </c>
      <c r="B886" s="164" t="s">
        <v>1665</v>
      </c>
      <c r="C886" s="164" t="s">
        <v>1823</v>
      </c>
      <c r="D886" s="166" t="s">
        <v>435</v>
      </c>
      <c r="E886" s="163"/>
      <c r="F886" s="105"/>
      <c r="G886" s="105"/>
      <c r="H886" s="105">
        <v>5</v>
      </c>
      <c r="I886" s="105">
        <v>1</v>
      </c>
      <c r="J886" s="105"/>
      <c r="K886" s="105">
        <v>1</v>
      </c>
      <c r="L886" s="105"/>
      <c r="M886" s="105"/>
      <c r="N886" s="105"/>
      <c r="O886" s="105"/>
      <c r="P886" s="105"/>
      <c r="Q886" s="105"/>
      <c r="R886" s="105"/>
      <c r="S886" s="105"/>
      <c r="T886" s="106"/>
      <c r="U886" s="130"/>
      <c r="V886" s="1"/>
      <c r="W886" s="68">
        <f t="shared" si="222"/>
        <v>0</v>
      </c>
      <c r="X886" s="68">
        <f t="shared" si="223"/>
        <v>0</v>
      </c>
      <c r="Y886" s="68">
        <f t="shared" si="224"/>
        <v>0</v>
      </c>
      <c r="Z886" s="68">
        <f t="shared" si="225"/>
        <v>0</v>
      </c>
      <c r="AA886" s="68"/>
      <c r="AB886" s="68">
        <v>0</v>
      </c>
      <c r="AC886" s="69">
        <f t="shared" si="226"/>
        <v>0</v>
      </c>
      <c r="AD886" s="70">
        <v>0</v>
      </c>
      <c r="AE886" s="63">
        <v>40484</v>
      </c>
      <c r="AF886" s="72"/>
      <c r="AG886" s="63" t="s">
        <v>938</v>
      </c>
      <c r="AH886" s="23" t="s">
        <v>939</v>
      </c>
      <c r="AI886" s="83"/>
      <c r="AJ886" s="124" t="s">
        <v>1608</v>
      </c>
      <c r="AK886" s="121" t="s">
        <v>1612</v>
      </c>
      <c r="AL886" s="107"/>
      <c r="AM886" s="108"/>
      <c r="AN886" s="109"/>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c r="BJ886" s="108"/>
      <c r="BK886" s="108"/>
      <c r="BL886" s="108"/>
      <c r="BM886" s="108"/>
      <c r="BN886" s="108"/>
      <c r="BO886" s="108"/>
      <c r="BP886" s="108"/>
      <c r="BQ886" s="108"/>
      <c r="BR886" s="108"/>
      <c r="BS886" s="108"/>
      <c r="BT886" s="108"/>
      <c r="BU886" s="108"/>
      <c r="BV886" s="108"/>
      <c r="BW886" s="108"/>
      <c r="BX886" s="108"/>
      <c r="BY886" s="108"/>
      <c r="BZ886" s="108"/>
      <c r="CA886" s="108"/>
      <c r="CB886" s="108"/>
      <c r="CC886" s="108"/>
      <c r="CD886" s="108"/>
      <c r="CE886" s="108"/>
      <c r="CF886" s="108"/>
      <c r="CG886" s="108"/>
      <c r="CH886" s="108"/>
      <c r="CI886" s="108"/>
      <c r="CJ886" s="108"/>
      <c r="CK886" s="108"/>
      <c r="CL886" s="108"/>
      <c r="CM886" s="108"/>
      <c r="CN886" s="110"/>
      <c r="CO886" s="111"/>
      <c r="CP886" s="110"/>
      <c r="CQ886" s="111"/>
      <c r="CR886" s="110"/>
      <c r="CS886" s="111"/>
      <c r="CT886" s="112">
        <f t="shared" si="227"/>
        <v>0</v>
      </c>
      <c r="CU886" s="113"/>
      <c r="CV886" s="114"/>
      <c r="CW886" s="115"/>
      <c r="CX886" s="116"/>
      <c r="CY886" s="117"/>
      <c r="CZ886" s="116"/>
      <c r="DA886" s="113"/>
      <c r="DB886" s="114"/>
      <c r="DC886" s="64"/>
      <c r="DD886" s="118"/>
    </row>
    <row r="887" spans="1:108" s="119" customFormat="1" ht="24" outlineLevel="2">
      <c r="A887" s="178">
        <v>40486</v>
      </c>
      <c r="B887" s="164" t="s">
        <v>1665</v>
      </c>
      <c r="C887" s="164" t="s">
        <v>1294</v>
      </c>
      <c r="D887" s="166" t="s">
        <v>435</v>
      </c>
      <c r="E887" s="163"/>
      <c r="F887" s="105"/>
      <c r="G887" s="105"/>
      <c r="H887" s="105">
        <v>75</v>
      </c>
      <c r="I887" s="105">
        <v>15</v>
      </c>
      <c r="J887" s="105"/>
      <c r="K887" s="105">
        <v>15</v>
      </c>
      <c r="L887" s="105"/>
      <c r="M887" s="105"/>
      <c r="N887" s="105"/>
      <c r="O887" s="105"/>
      <c r="P887" s="105"/>
      <c r="Q887" s="105"/>
      <c r="R887" s="105"/>
      <c r="S887" s="105"/>
      <c r="T887" s="106"/>
      <c r="U887" s="130"/>
      <c r="V887" s="1"/>
      <c r="W887" s="68">
        <f t="shared" si="222"/>
        <v>0</v>
      </c>
      <c r="X887" s="68">
        <f t="shared" si="223"/>
        <v>0</v>
      </c>
      <c r="Y887" s="68">
        <f t="shared" si="224"/>
        <v>0</v>
      </c>
      <c r="Z887" s="68">
        <f t="shared" si="225"/>
        <v>0</v>
      </c>
      <c r="AA887" s="68"/>
      <c r="AB887" s="68">
        <v>0</v>
      </c>
      <c r="AC887" s="69">
        <f t="shared" si="226"/>
        <v>0</v>
      </c>
      <c r="AD887" s="70">
        <v>0</v>
      </c>
      <c r="AE887" s="63">
        <v>40490</v>
      </c>
      <c r="AF887" s="72"/>
      <c r="AG887" s="63" t="s">
        <v>938</v>
      </c>
      <c r="AH887" s="23" t="s">
        <v>939</v>
      </c>
      <c r="AI887" s="60"/>
      <c r="AJ887" s="124" t="s">
        <v>1608</v>
      </c>
      <c r="AK887" s="121" t="s">
        <v>455</v>
      </c>
      <c r="AL887" s="107"/>
      <c r="AM887" s="108"/>
      <c r="AN887" s="109"/>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c r="BJ887" s="108"/>
      <c r="BK887" s="108"/>
      <c r="BL887" s="108"/>
      <c r="BM887" s="108"/>
      <c r="BN887" s="108"/>
      <c r="BO887" s="108"/>
      <c r="BP887" s="108"/>
      <c r="BQ887" s="108"/>
      <c r="BR887" s="108"/>
      <c r="BS887" s="108"/>
      <c r="BT887" s="108"/>
      <c r="BU887" s="108"/>
      <c r="BV887" s="108"/>
      <c r="BW887" s="108"/>
      <c r="BX887" s="108"/>
      <c r="BY887" s="108"/>
      <c r="BZ887" s="108"/>
      <c r="CA887" s="108"/>
      <c r="CB887" s="108"/>
      <c r="CC887" s="108"/>
      <c r="CD887" s="108"/>
      <c r="CE887" s="108"/>
      <c r="CF887" s="108"/>
      <c r="CG887" s="108"/>
      <c r="CH887" s="108"/>
      <c r="CI887" s="108"/>
      <c r="CJ887" s="108"/>
      <c r="CK887" s="108"/>
      <c r="CL887" s="108"/>
      <c r="CM887" s="108"/>
      <c r="CN887" s="110"/>
      <c r="CO887" s="111"/>
      <c r="CP887" s="110"/>
      <c r="CQ887" s="111"/>
      <c r="CR887" s="110"/>
      <c r="CS887" s="111"/>
      <c r="CT887" s="112">
        <f t="shared" si="227"/>
        <v>0</v>
      </c>
      <c r="CU887" s="113"/>
      <c r="CV887" s="114"/>
      <c r="CW887" s="115"/>
      <c r="CX887" s="116"/>
      <c r="CY887" s="117"/>
      <c r="CZ887" s="116"/>
      <c r="DA887" s="113"/>
      <c r="DB887" s="114"/>
      <c r="DC887" s="64"/>
      <c r="DD887" s="118"/>
    </row>
    <row r="888" spans="1:108" s="119" customFormat="1" outlineLevel="2">
      <c r="A888" s="178">
        <v>40487</v>
      </c>
      <c r="B888" s="164" t="s">
        <v>1665</v>
      </c>
      <c r="C888" s="164" t="s">
        <v>457</v>
      </c>
      <c r="D888" s="165" t="s">
        <v>1182</v>
      </c>
      <c r="E888" s="163"/>
      <c r="F888" s="105"/>
      <c r="G888" s="105"/>
      <c r="H888" s="105">
        <v>65</v>
      </c>
      <c r="I888" s="105">
        <v>12</v>
      </c>
      <c r="J888" s="105">
        <v>3</v>
      </c>
      <c r="K888" s="105">
        <v>9</v>
      </c>
      <c r="L888" s="105"/>
      <c r="M888" s="105"/>
      <c r="N888" s="105"/>
      <c r="O888" s="105"/>
      <c r="P888" s="105"/>
      <c r="Q888" s="105"/>
      <c r="R888" s="105"/>
      <c r="S888" s="105"/>
      <c r="T888" s="106"/>
      <c r="U888" s="130"/>
      <c r="V888" s="1"/>
      <c r="W888" s="68">
        <f t="shared" si="222"/>
        <v>0</v>
      </c>
      <c r="X888" s="68">
        <f t="shared" si="223"/>
        <v>0</v>
      </c>
      <c r="Y888" s="68">
        <f t="shared" si="224"/>
        <v>0</v>
      </c>
      <c r="Z888" s="68">
        <f t="shared" si="225"/>
        <v>0</v>
      </c>
      <c r="AA888" s="68"/>
      <c r="AB888" s="68">
        <v>0</v>
      </c>
      <c r="AC888" s="69">
        <f t="shared" si="226"/>
        <v>0</v>
      </c>
      <c r="AD888" s="70">
        <v>0</v>
      </c>
      <c r="AE888" s="63">
        <v>40490</v>
      </c>
      <c r="AF888" s="72"/>
      <c r="AG888" s="63" t="s">
        <v>938</v>
      </c>
      <c r="AH888" s="23" t="s">
        <v>939</v>
      </c>
      <c r="AI888" s="60"/>
      <c r="AJ888" s="124" t="s">
        <v>1608</v>
      </c>
      <c r="AK888" s="121" t="s">
        <v>458</v>
      </c>
      <c r="AL888" s="107"/>
      <c r="AM888" s="108"/>
      <c r="AN888" s="109"/>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c r="BJ888" s="108"/>
      <c r="BK888" s="108"/>
      <c r="BL888" s="108"/>
      <c r="BM888" s="108"/>
      <c r="BN888" s="108"/>
      <c r="BO888" s="108"/>
      <c r="BP888" s="108"/>
      <c r="BQ888" s="108"/>
      <c r="BR888" s="108"/>
      <c r="BS888" s="108"/>
      <c r="BT888" s="108"/>
      <c r="BU888" s="108"/>
      <c r="BV888" s="108"/>
      <c r="BW888" s="108"/>
      <c r="BX888" s="108"/>
      <c r="BY888" s="108"/>
      <c r="BZ888" s="108"/>
      <c r="CA888" s="108"/>
      <c r="CB888" s="108"/>
      <c r="CC888" s="108"/>
      <c r="CD888" s="108"/>
      <c r="CE888" s="108"/>
      <c r="CF888" s="108"/>
      <c r="CG888" s="108"/>
      <c r="CH888" s="108"/>
      <c r="CI888" s="108"/>
      <c r="CJ888" s="108"/>
      <c r="CK888" s="108"/>
      <c r="CL888" s="108"/>
      <c r="CM888" s="108"/>
      <c r="CN888" s="110"/>
      <c r="CO888" s="111"/>
      <c r="CP888" s="110"/>
      <c r="CQ888" s="111"/>
      <c r="CR888" s="110"/>
      <c r="CS888" s="111"/>
      <c r="CT888" s="112">
        <f t="shared" si="227"/>
        <v>0</v>
      </c>
      <c r="CU888" s="113"/>
      <c r="CV888" s="114"/>
      <c r="CW888" s="115"/>
      <c r="CX888" s="116"/>
      <c r="CY888" s="117"/>
      <c r="CZ888" s="116"/>
      <c r="DA888" s="113"/>
      <c r="DB888" s="114"/>
      <c r="DC888" s="64"/>
      <c r="DD888" s="118"/>
    </row>
    <row r="889" spans="1:108" s="119" customFormat="1" outlineLevel="2">
      <c r="A889" s="178">
        <v>40488</v>
      </c>
      <c r="B889" s="164" t="s">
        <v>1665</v>
      </c>
      <c r="C889" s="164" t="s">
        <v>1657</v>
      </c>
      <c r="D889" s="166" t="s">
        <v>1262</v>
      </c>
      <c r="E889" s="163"/>
      <c r="F889" s="105"/>
      <c r="G889" s="105"/>
      <c r="H889" s="105">
        <v>12</v>
      </c>
      <c r="I889" s="105">
        <v>2</v>
      </c>
      <c r="J889" s="105"/>
      <c r="K889" s="105">
        <v>2</v>
      </c>
      <c r="L889" s="105"/>
      <c r="M889" s="105"/>
      <c r="N889" s="105"/>
      <c r="O889" s="105"/>
      <c r="P889" s="105"/>
      <c r="Q889" s="105"/>
      <c r="R889" s="105"/>
      <c r="S889" s="105"/>
      <c r="T889" s="106"/>
      <c r="U889" s="130"/>
      <c r="V889" s="1"/>
      <c r="W889" s="68">
        <f t="shared" si="222"/>
        <v>0</v>
      </c>
      <c r="X889" s="68">
        <f t="shared" si="223"/>
        <v>0</v>
      </c>
      <c r="Y889" s="68">
        <f t="shared" si="224"/>
        <v>0</v>
      </c>
      <c r="Z889" s="68">
        <f t="shared" si="225"/>
        <v>0</v>
      </c>
      <c r="AA889" s="68"/>
      <c r="AB889" s="68">
        <v>0</v>
      </c>
      <c r="AC889" s="69">
        <f t="shared" si="226"/>
        <v>0</v>
      </c>
      <c r="AD889" s="70">
        <v>0</v>
      </c>
      <c r="AE889" s="63">
        <v>40490</v>
      </c>
      <c r="AF889" s="72"/>
      <c r="AG889" s="63" t="s">
        <v>938</v>
      </c>
      <c r="AH889" s="23" t="s">
        <v>939</v>
      </c>
      <c r="AI889" s="60"/>
      <c r="AJ889" s="124" t="s">
        <v>1608</v>
      </c>
      <c r="AK889" s="121" t="s">
        <v>471</v>
      </c>
      <c r="AL889" s="107"/>
      <c r="AM889" s="108"/>
      <c r="AN889" s="109"/>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c r="BJ889" s="108"/>
      <c r="BK889" s="108"/>
      <c r="BL889" s="108"/>
      <c r="BM889" s="108"/>
      <c r="BN889" s="108"/>
      <c r="BO889" s="108"/>
      <c r="BP889" s="108"/>
      <c r="BQ889" s="108"/>
      <c r="BR889" s="108"/>
      <c r="BS889" s="108"/>
      <c r="BT889" s="108"/>
      <c r="BU889" s="108"/>
      <c r="BV889" s="108"/>
      <c r="BW889" s="108"/>
      <c r="BX889" s="108"/>
      <c r="BY889" s="108"/>
      <c r="BZ889" s="108"/>
      <c r="CA889" s="108"/>
      <c r="CB889" s="108"/>
      <c r="CC889" s="108"/>
      <c r="CD889" s="108"/>
      <c r="CE889" s="108"/>
      <c r="CF889" s="108"/>
      <c r="CG889" s="108"/>
      <c r="CH889" s="108"/>
      <c r="CI889" s="108"/>
      <c r="CJ889" s="108"/>
      <c r="CK889" s="108"/>
      <c r="CL889" s="108"/>
      <c r="CM889" s="108"/>
      <c r="CN889" s="110"/>
      <c r="CO889" s="111"/>
      <c r="CP889" s="110"/>
      <c r="CQ889" s="111"/>
      <c r="CR889" s="110"/>
      <c r="CS889" s="111"/>
      <c r="CT889" s="112">
        <f t="shared" si="227"/>
        <v>0</v>
      </c>
      <c r="CU889" s="113"/>
      <c r="CV889" s="114"/>
      <c r="CW889" s="115"/>
      <c r="CX889" s="116"/>
      <c r="CY889" s="117"/>
      <c r="CZ889" s="116"/>
      <c r="DA889" s="113"/>
      <c r="DB889" s="114"/>
      <c r="DC889" s="64"/>
      <c r="DD889" s="118"/>
    </row>
    <row r="890" spans="1:108" s="119" customFormat="1" ht="24" outlineLevel="2">
      <c r="A890" s="178">
        <v>40488</v>
      </c>
      <c r="B890" s="164" t="s">
        <v>1665</v>
      </c>
      <c r="C890" s="164" t="s">
        <v>472</v>
      </c>
      <c r="D890" s="165" t="s">
        <v>1182</v>
      </c>
      <c r="E890" s="163"/>
      <c r="F890" s="105"/>
      <c r="G890" s="105"/>
      <c r="H890" s="105">
        <v>5</v>
      </c>
      <c r="I890" s="105">
        <v>1</v>
      </c>
      <c r="J890" s="105"/>
      <c r="K890" s="105">
        <v>1</v>
      </c>
      <c r="L890" s="105"/>
      <c r="M890" s="105"/>
      <c r="N890" s="105"/>
      <c r="O890" s="105"/>
      <c r="P890" s="105"/>
      <c r="Q890" s="105"/>
      <c r="R890" s="105"/>
      <c r="S890" s="105"/>
      <c r="T890" s="106"/>
      <c r="U890" s="130"/>
      <c r="V890" s="1"/>
      <c r="W890" s="68">
        <f t="shared" si="222"/>
        <v>0</v>
      </c>
      <c r="X890" s="68">
        <f t="shared" si="223"/>
        <v>0</v>
      </c>
      <c r="Y890" s="68">
        <f t="shared" si="224"/>
        <v>0</v>
      </c>
      <c r="Z890" s="68">
        <f t="shared" si="225"/>
        <v>0</v>
      </c>
      <c r="AA890" s="68"/>
      <c r="AB890" s="68">
        <v>0</v>
      </c>
      <c r="AC890" s="69">
        <f t="shared" si="226"/>
        <v>0</v>
      </c>
      <c r="AD890" s="70">
        <v>0</v>
      </c>
      <c r="AE890" s="63">
        <v>40490</v>
      </c>
      <c r="AF890" s="72"/>
      <c r="AG890" s="63" t="s">
        <v>938</v>
      </c>
      <c r="AH890" s="23" t="s">
        <v>939</v>
      </c>
      <c r="AI890" s="60"/>
      <c r="AJ890" s="124" t="s">
        <v>1608</v>
      </c>
      <c r="AK890" s="121" t="s">
        <v>473</v>
      </c>
      <c r="AL890" s="107"/>
      <c r="AM890" s="108"/>
      <c r="AN890" s="109"/>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c r="BJ890" s="108"/>
      <c r="BK890" s="108"/>
      <c r="BL890" s="108"/>
      <c r="BM890" s="108"/>
      <c r="BN890" s="108"/>
      <c r="BO890" s="108"/>
      <c r="BP890" s="108"/>
      <c r="BQ890" s="108"/>
      <c r="BR890" s="108"/>
      <c r="BS890" s="108"/>
      <c r="BT890" s="108"/>
      <c r="BU890" s="108"/>
      <c r="BV890" s="108"/>
      <c r="BW890" s="108"/>
      <c r="BX890" s="108"/>
      <c r="BY890" s="108"/>
      <c r="BZ890" s="108"/>
      <c r="CA890" s="108"/>
      <c r="CB890" s="108"/>
      <c r="CC890" s="108"/>
      <c r="CD890" s="108"/>
      <c r="CE890" s="108"/>
      <c r="CF890" s="108"/>
      <c r="CG890" s="108"/>
      <c r="CH890" s="108"/>
      <c r="CI890" s="108"/>
      <c r="CJ890" s="108"/>
      <c r="CK890" s="108"/>
      <c r="CL890" s="108"/>
      <c r="CM890" s="108"/>
      <c r="CN890" s="110"/>
      <c r="CO890" s="111"/>
      <c r="CP890" s="110"/>
      <c r="CQ890" s="111"/>
      <c r="CR890" s="110"/>
      <c r="CS890" s="111"/>
      <c r="CT890" s="112">
        <f t="shared" si="227"/>
        <v>0</v>
      </c>
      <c r="CU890" s="113"/>
      <c r="CV890" s="114"/>
      <c r="CW890" s="115"/>
      <c r="CX890" s="116"/>
      <c r="CY890" s="117"/>
      <c r="CZ890" s="116"/>
      <c r="DA890" s="113"/>
      <c r="DB890" s="114"/>
      <c r="DC890" s="64"/>
      <c r="DD890" s="118"/>
    </row>
    <row r="891" spans="1:108" s="119" customFormat="1" ht="36" outlineLevel="2">
      <c r="A891" s="178">
        <v>40488</v>
      </c>
      <c r="B891" s="164" t="s">
        <v>1665</v>
      </c>
      <c r="C891" s="164" t="s">
        <v>550</v>
      </c>
      <c r="D891" s="166" t="s">
        <v>1262</v>
      </c>
      <c r="E891" s="163"/>
      <c r="F891" s="105"/>
      <c r="G891" s="105"/>
      <c r="H891" s="105">
        <v>20</v>
      </c>
      <c r="I891" s="105">
        <v>4</v>
      </c>
      <c r="J891" s="105">
        <v>2</v>
      </c>
      <c r="K891" s="105">
        <v>2</v>
      </c>
      <c r="L891" s="105">
        <v>1</v>
      </c>
      <c r="M891" s="105">
        <v>1</v>
      </c>
      <c r="N891" s="105"/>
      <c r="O891" s="105"/>
      <c r="P891" s="105"/>
      <c r="Q891" s="105"/>
      <c r="R891" s="105"/>
      <c r="S891" s="105"/>
      <c r="T891" s="106">
        <v>4.5</v>
      </c>
      <c r="U891" s="130" t="s">
        <v>551</v>
      </c>
      <c r="V891" s="1"/>
      <c r="W891" s="68">
        <f t="shared" si="222"/>
        <v>0</v>
      </c>
      <c r="X891" s="68">
        <f t="shared" si="223"/>
        <v>0</v>
      </c>
      <c r="Y891" s="68">
        <f t="shared" si="224"/>
        <v>0</v>
      </c>
      <c r="Z891" s="68">
        <f t="shared" si="225"/>
        <v>0</v>
      </c>
      <c r="AA891" s="68"/>
      <c r="AB891" s="68">
        <v>0</v>
      </c>
      <c r="AC891" s="69">
        <f t="shared" si="226"/>
        <v>0</v>
      </c>
      <c r="AD891" s="70">
        <v>0</v>
      </c>
      <c r="AE891" s="63">
        <v>40492</v>
      </c>
      <c r="AF891" s="72"/>
      <c r="AG891" s="63" t="s">
        <v>938</v>
      </c>
      <c r="AH891" s="23" t="s">
        <v>939</v>
      </c>
      <c r="AI891" s="60"/>
      <c r="AJ891" s="124" t="s">
        <v>1608</v>
      </c>
      <c r="AK891" s="121" t="s">
        <v>552</v>
      </c>
      <c r="AL891" s="107"/>
      <c r="AM891" s="108"/>
      <c r="AN891" s="109"/>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c r="BJ891" s="108"/>
      <c r="BK891" s="108"/>
      <c r="BL891" s="108"/>
      <c r="BM891" s="108"/>
      <c r="BN891" s="108"/>
      <c r="BO891" s="108"/>
      <c r="BP891" s="108"/>
      <c r="BQ891" s="108"/>
      <c r="BR891" s="108"/>
      <c r="BS891" s="108"/>
      <c r="BT891" s="108"/>
      <c r="BU891" s="108"/>
      <c r="BV891" s="108"/>
      <c r="BW891" s="108"/>
      <c r="BX891" s="108"/>
      <c r="BY891" s="108"/>
      <c r="BZ891" s="108"/>
      <c r="CA891" s="108"/>
      <c r="CB891" s="108"/>
      <c r="CC891" s="108"/>
      <c r="CD891" s="108"/>
      <c r="CE891" s="108"/>
      <c r="CF891" s="108"/>
      <c r="CG891" s="108"/>
      <c r="CH891" s="108"/>
      <c r="CI891" s="108"/>
      <c r="CJ891" s="108"/>
      <c r="CK891" s="108"/>
      <c r="CL891" s="108"/>
      <c r="CM891" s="108"/>
      <c r="CN891" s="110"/>
      <c r="CO891" s="111"/>
      <c r="CP891" s="110"/>
      <c r="CQ891" s="111"/>
      <c r="CR891" s="110"/>
      <c r="CS891" s="111"/>
      <c r="CT891" s="112">
        <f t="shared" si="227"/>
        <v>0</v>
      </c>
      <c r="CU891" s="113"/>
      <c r="CV891" s="114"/>
      <c r="CW891" s="115"/>
      <c r="CX891" s="116"/>
      <c r="CY891" s="117"/>
      <c r="CZ891" s="116"/>
      <c r="DA891" s="113"/>
      <c r="DB891" s="114"/>
      <c r="DC891" s="64"/>
      <c r="DD891" s="118"/>
    </row>
    <row r="892" spans="1:108" s="119" customFormat="1" ht="24" outlineLevel="2">
      <c r="A892" s="178">
        <v>40488</v>
      </c>
      <c r="B892" s="164" t="s">
        <v>1665</v>
      </c>
      <c r="C892" s="164" t="s">
        <v>870</v>
      </c>
      <c r="D892" s="166" t="s">
        <v>1262</v>
      </c>
      <c r="E892" s="163"/>
      <c r="F892" s="105"/>
      <c r="G892" s="105"/>
      <c r="H892" s="105">
        <v>50</v>
      </c>
      <c r="I892" s="105">
        <v>10</v>
      </c>
      <c r="J892" s="105"/>
      <c r="K892" s="105">
        <v>10</v>
      </c>
      <c r="L892" s="105"/>
      <c r="M892" s="105"/>
      <c r="N892" s="105"/>
      <c r="O892" s="105"/>
      <c r="P892" s="105"/>
      <c r="Q892" s="105"/>
      <c r="R892" s="105"/>
      <c r="S892" s="105"/>
      <c r="T892" s="106"/>
      <c r="U892" s="130"/>
      <c r="V892" s="1"/>
      <c r="W892" s="68">
        <f t="shared" si="222"/>
        <v>0</v>
      </c>
      <c r="X892" s="68">
        <f t="shared" si="223"/>
        <v>0</v>
      </c>
      <c r="Y892" s="68">
        <f t="shared" si="224"/>
        <v>0</v>
      </c>
      <c r="Z892" s="68">
        <f t="shared" si="225"/>
        <v>0</v>
      </c>
      <c r="AA892" s="68"/>
      <c r="AB892" s="68">
        <v>0</v>
      </c>
      <c r="AC892" s="69">
        <f t="shared" si="226"/>
        <v>0</v>
      </c>
      <c r="AD892" s="70">
        <v>0</v>
      </c>
      <c r="AE892" s="63"/>
      <c r="AF892" s="72"/>
      <c r="AG892" s="63"/>
      <c r="AH892" s="23"/>
      <c r="AI892" s="60"/>
      <c r="AJ892" s="124"/>
      <c r="AK892" s="121" t="s">
        <v>143</v>
      </c>
      <c r="AL892" s="107"/>
      <c r="AM892" s="108"/>
      <c r="AN892" s="109"/>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c r="BJ892" s="108"/>
      <c r="BK892" s="108"/>
      <c r="BL892" s="108"/>
      <c r="BM892" s="108"/>
      <c r="BN892" s="108"/>
      <c r="BO892" s="108"/>
      <c r="BP892" s="108"/>
      <c r="BQ892" s="108"/>
      <c r="BR892" s="108"/>
      <c r="BS892" s="108"/>
      <c r="BT892" s="108"/>
      <c r="BU892" s="108"/>
      <c r="BV892" s="108"/>
      <c r="BW892" s="108"/>
      <c r="BX892" s="108"/>
      <c r="BY892" s="108"/>
      <c r="BZ892" s="108"/>
      <c r="CA892" s="108"/>
      <c r="CB892" s="108"/>
      <c r="CC892" s="108"/>
      <c r="CD892" s="108"/>
      <c r="CE892" s="108"/>
      <c r="CF892" s="108"/>
      <c r="CG892" s="108"/>
      <c r="CH892" s="108"/>
      <c r="CI892" s="108"/>
      <c r="CJ892" s="108"/>
      <c r="CK892" s="108"/>
      <c r="CL892" s="108"/>
      <c r="CM892" s="108"/>
      <c r="CN892" s="110"/>
      <c r="CO892" s="111"/>
      <c r="CP892" s="110"/>
      <c r="CQ892" s="111"/>
      <c r="CR892" s="110"/>
      <c r="CS892" s="111"/>
      <c r="CT892" s="112">
        <f t="shared" si="227"/>
        <v>0</v>
      </c>
      <c r="CU892" s="113"/>
      <c r="CV892" s="114"/>
      <c r="CW892" s="115"/>
      <c r="CX892" s="116"/>
      <c r="CY892" s="117"/>
      <c r="CZ892" s="116"/>
      <c r="DA892" s="113"/>
      <c r="DB892" s="114"/>
      <c r="DC892" s="64"/>
      <c r="DD892" s="118"/>
    </row>
    <row r="893" spans="1:108" s="119" customFormat="1" ht="36" outlineLevel="2">
      <c r="A893" s="178">
        <v>40491</v>
      </c>
      <c r="B893" s="164" t="s">
        <v>1665</v>
      </c>
      <c r="C893" s="164" t="s">
        <v>517</v>
      </c>
      <c r="D893" s="166" t="s">
        <v>1262</v>
      </c>
      <c r="E893" s="163"/>
      <c r="F893" s="105"/>
      <c r="G893" s="105"/>
      <c r="H893" s="105">
        <v>10</v>
      </c>
      <c r="I893" s="105">
        <v>2</v>
      </c>
      <c r="J893" s="105"/>
      <c r="K893" s="105">
        <v>2</v>
      </c>
      <c r="L893" s="105"/>
      <c r="M893" s="105"/>
      <c r="N893" s="105"/>
      <c r="O893" s="105">
        <v>1</v>
      </c>
      <c r="P893" s="105"/>
      <c r="Q893" s="105"/>
      <c r="R893" s="105"/>
      <c r="S893" s="105"/>
      <c r="T893" s="106"/>
      <c r="U893" s="130"/>
      <c r="V893" s="1"/>
      <c r="W893" s="68">
        <f t="shared" si="222"/>
        <v>0</v>
      </c>
      <c r="X893" s="68">
        <f t="shared" si="223"/>
        <v>0</v>
      </c>
      <c r="Y893" s="68">
        <f t="shared" si="224"/>
        <v>0</v>
      </c>
      <c r="Z893" s="68">
        <f t="shared" si="225"/>
        <v>0</v>
      </c>
      <c r="AA893" s="68"/>
      <c r="AB893" s="68">
        <v>0</v>
      </c>
      <c r="AC893" s="69">
        <f t="shared" si="226"/>
        <v>0</v>
      </c>
      <c r="AD893" s="70">
        <v>0</v>
      </c>
      <c r="AE893" s="63">
        <v>40492</v>
      </c>
      <c r="AF893" s="72"/>
      <c r="AG893" s="63" t="s">
        <v>938</v>
      </c>
      <c r="AH893" s="23" t="s">
        <v>939</v>
      </c>
      <c r="AI893" s="60"/>
      <c r="AJ893" s="124" t="s">
        <v>1608</v>
      </c>
      <c r="AK893" s="121" t="s">
        <v>142</v>
      </c>
      <c r="AL893" s="107"/>
      <c r="AM893" s="108"/>
      <c r="AN893" s="109"/>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c r="BJ893" s="108"/>
      <c r="BK893" s="108"/>
      <c r="BL893" s="108"/>
      <c r="BM893" s="108"/>
      <c r="BN893" s="108"/>
      <c r="BO893" s="108"/>
      <c r="BP893" s="108"/>
      <c r="BQ893" s="108"/>
      <c r="BR893" s="108"/>
      <c r="BS893" s="108"/>
      <c r="BT893" s="108"/>
      <c r="BU893" s="108"/>
      <c r="BV893" s="108"/>
      <c r="BW893" s="108"/>
      <c r="BX893" s="108"/>
      <c r="BY893" s="108"/>
      <c r="BZ893" s="108"/>
      <c r="CA893" s="108"/>
      <c r="CB893" s="108"/>
      <c r="CC893" s="108"/>
      <c r="CD893" s="108"/>
      <c r="CE893" s="108"/>
      <c r="CF893" s="108"/>
      <c r="CG893" s="108"/>
      <c r="CH893" s="108"/>
      <c r="CI893" s="108"/>
      <c r="CJ893" s="108"/>
      <c r="CK893" s="108"/>
      <c r="CL893" s="108"/>
      <c r="CM893" s="108"/>
      <c r="CN893" s="110"/>
      <c r="CO893" s="111"/>
      <c r="CP893" s="110"/>
      <c r="CQ893" s="111"/>
      <c r="CR893" s="110"/>
      <c r="CS893" s="111"/>
      <c r="CT893" s="112">
        <f t="shared" si="227"/>
        <v>0</v>
      </c>
      <c r="CU893" s="113"/>
      <c r="CV893" s="114"/>
      <c r="CW893" s="115"/>
      <c r="CX893" s="116"/>
      <c r="CY893" s="117"/>
      <c r="CZ893" s="116"/>
      <c r="DA893" s="113"/>
      <c r="DB893" s="114"/>
      <c r="DC893" s="64"/>
      <c r="DD893" s="118"/>
    </row>
    <row r="894" spans="1:108" s="119" customFormat="1" ht="36" outlineLevel="2">
      <c r="A894" s="178">
        <v>40491</v>
      </c>
      <c r="B894" s="164" t="s">
        <v>1665</v>
      </c>
      <c r="C894" s="164" t="s">
        <v>1915</v>
      </c>
      <c r="D894" s="166" t="s">
        <v>1262</v>
      </c>
      <c r="E894" s="163"/>
      <c r="F894" s="105"/>
      <c r="G894" s="105"/>
      <c r="H894" s="105">
        <f>65*5</f>
        <v>325</v>
      </c>
      <c r="I894" s="105">
        <v>65</v>
      </c>
      <c r="J894" s="105">
        <v>2</v>
      </c>
      <c r="K894" s="105">
        <v>63</v>
      </c>
      <c r="L894" s="105"/>
      <c r="M894" s="105"/>
      <c r="N894" s="105"/>
      <c r="O894" s="105"/>
      <c r="P894" s="105"/>
      <c r="Q894" s="105"/>
      <c r="R894" s="105"/>
      <c r="S894" s="105"/>
      <c r="T894" s="106"/>
      <c r="U894" s="130"/>
      <c r="V894" s="1"/>
      <c r="W894" s="68">
        <f t="shared" si="222"/>
        <v>0</v>
      </c>
      <c r="X894" s="68">
        <f t="shared" si="223"/>
        <v>0</v>
      </c>
      <c r="Y894" s="68">
        <f t="shared" si="224"/>
        <v>0</v>
      </c>
      <c r="Z894" s="68">
        <f t="shared" si="225"/>
        <v>0</v>
      </c>
      <c r="AA894" s="68"/>
      <c r="AB894" s="68">
        <v>0</v>
      </c>
      <c r="AC894" s="69">
        <f t="shared" si="226"/>
        <v>0</v>
      </c>
      <c r="AD894" s="70">
        <v>0</v>
      </c>
      <c r="AE894" s="63">
        <v>40492</v>
      </c>
      <c r="AF894" s="72"/>
      <c r="AG894" s="63" t="s">
        <v>938</v>
      </c>
      <c r="AH894" s="23" t="s">
        <v>939</v>
      </c>
      <c r="AI894" s="60"/>
      <c r="AJ894" s="124" t="s">
        <v>1608</v>
      </c>
      <c r="AK894" s="121" t="s">
        <v>595</v>
      </c>
      <c r="AL894" s="107"/>
      <c r="AM894" s="108"/>
      <c r="AN894" s="109"/>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c r="BJ894" s="108"/>
      <c r="BK894" s="108"/>
      <c r="BL894" s="108"/>
      <c r="BM894" s="108"/>
      <c r="BN894" s="108"/>
      <c r="BO894" s="108"/>
      <c r="BP894" s="108"/>
      <c r="BQ894" s="108"/>
      <c r="BR894" s="108"/>
      <c r="BS894" s="108"/>
      <c r="BT894" s="108"/>
      <c r="BU894" s="108"/>
      <c r="BV894" s="108"/>
      <c r="BW894" s="108"/>
      <c r="BX894" s="108"/>
      <c r="BY894" s="108"/>
      <c r="BZ894" s="108"/>
      <c r="CA894" s="108"/>
      <c r="CB894" s="108"/>
      <c r="CC894" s="108"/>
      <c r="CD894" s="108"/>
      <c r="CE894" s="108"/>
      <c r="CF894" s="108"/>
      <c r="CG894" s="108"/>
      <c r="CH894" s="108"/>
      <c r="CI894" s="108"/>
      <c r="CJ894" s="108"/>
      <c r="CK894" s="108"/>
      <c r="CL894" s="108"/>
      <c r="CM894" s="108"/>
      <c r="CN894" s="110"/>
      <c r="CO894" s="111"/>
      <c r="CP894" s="110"/>
      <c r="CQ894" s="111"/>
      <c r="CR894" s="110"/>
      <c r="CS894" s="111"/>
      <c r="CT894" s="112">
        <f t="shared" si="227"/>
        <v>0</v>
      </c>
      <c r="CU894" s="113"/>
      <c r="CV894" s="114"/>
      <c r="CW894" s="115"/>
      <c r="CX894" s="116"/>
      <c r="CY894" s="117"/>
      <c r="CZ894" s="116"/>
      <c r="DA894" s="113"/>
      <c r="DB894" s="114"/>
      <c r="DC894" s="64"/>
      <c r="DD894" s="118"/>
    </row>
    <row r="895" spans="1:108" s="119" customFormat="1" ht="24" outlineLevel="2">
      <c r="A895" s="178">
        <v>40491</v>
      </c>
      <c r="B895" s="164" t="s">
        <v>1665</v>
      </c>
      <c r="C895" s="164" t="s">
        <v>515</v>
      </c>
      <c r="D895" s="165" t="s">
        <v>1182</v>
      </c>
      <c r="E895" s="163"/>
      <c r="F895" s="105"/>
      <c r="G895" s="105"/>
      <c r="H895" s="105"/>
      <c r="I895" s="105"/>
      <c r="J895" s="105"/>
      <c r="K895" s="105"/>
      <c r="L895" s="105">
        <v>1</v>
      </c>
      <c r="M895" s="105"/>
      <c r="N895" s="105"/>
      <c r="O895" s="105"/>
      <c r="P895" s="105"/>
      <c r="Q895" s="105"/>
      <c r="R895" s="105"/>
      <c r="S895" s="105"/>
      <c r="T895" s="106"/>
      <c r="U895" s="130"/>
      <c r="V895" s="1"/>
      <c r="W895" s="68">
        <f t="shared" si="222"/>
        <v>0</v>
      </c>
      <c r="X895" s="68">
        <f t="shared" si="223"/>
        <v>0</v>
      </c>
      <c r="Y895" s="68">
        <f t="shared" si="224"/>
        <v>0</v>
      </c>
      <c r="Z895" s="68">
        <f t="shared" si="225"/>
        <v>0</v>
      </c>
      <c r="AA895" s="68"/>
      <c r="AB895" s="68">
        <v>0</v>
      </c>
      <c r="AC895" s="69">
        <f t="shared" si="226"/>
        <v>0</v>
      </c>
      <c r="AD895" s="70">
        <v>0</v>
      </c>
      <c r="AE895" s="63">
        <v>40492</v>
      </c>
      <c r="AF895" s="72"/>
      <c r="AG895" s="63" t="s">
        <v>938</v>
      </c>
      <c r="AH895" s="23" t="s">
        <v>939</v>
      </c>
      <c r="AI895" s="60"/>
      <c r="AJ895" s="124" t="s">
        <v>1608</v>
      </c>
      <c r="AK895" s="121" t="s">
        <v>516</v>
      </c>
      <c r="AL895" s="107"/>
      <c r="AM895" s="108"/>
      <c r="AN895" s="109"/>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c r="BJ895" s="108"/>
      <c r="BK895" s="108"/>
      <c r="BL895" s="108"/>
      <c r="BM895" s="108"/>
      <c r="BN895" s="108"/>
      <c r="BO895" s="108"/>
      <c r="BP895" s="108"/>
      <c r="BQ895" s="108"/>
      <c r="BR895" s="108"/>
      <c r="BS895" s="108"/>
      <c r="BT895" s="108"/>
      <c r="BU895" s="108"/>
      <c r="BV895" s="108"/>
      <c r="BW895" s="108"/>
      <c r="BX895" s="108"/>
      <c r="BY895" s="108"/>
      <c r="BZ895" s="108"/>
      <c r="CA895" s="108"/>
      <c r="CB895" s="108"/>
      <c r="CC895" s="108"/>
      <c r="CD895" s="108"/>
      <c r="CE895" s="108"/>
      <c r="CF895" s="108"/>
      <c r="CG895" s="108"/>
      <c r="CH895" s="108"/>
      <c r="CI895" s="108"/>
      <c r="CJ895" s="108"/>
      <c r="CK895" s="108"/>
      <c r="CL895" s="108"/>
      <c r="CM895" s="108"/>
      <c r="CN895" s="110"/>
      <c r="CO895" s="111"/>
      <c r="CP895" s="110"/>
      <c r="CQ895" s="111"/>
      <c r="CR895" s="110"/>
      <c r="CS895" s="111"/>
      <c r="CT895" s="112">
        <f t="shared" si="227"/>
        <v>0</v>
      </c>
      <c r="CU895" s="113"/>
      <c r="CV895" s="114"/>
      <c r="CW895" s="115"/>
      <c r="CX895" s="116"/>
      <c r="CY895" s="117"/>
      <c r="CZ895" s="116"/>
      <c r="DA895" s="113"/>
      <c r="DB895" s="114"/>
      <c r="DC895" s="64"/>
      <c r="DD895" s="118"/>
    </row>
    <row r="896" spans="1:108" s="119" customFormat="1" ht="24" outlineLevel="2">
      <c r="A896" s="178">
        <v>40497</v>
      </c>
      <c r="B896" s="164" t="s">
        <v>1665</v>
      </c>
      <c r="C896" s="164" t="s">
        <v>515</v>
      </c>
      <c r="D896" s="165" t="s">
        <v>1182</v>
      </c>
      <c r="E896" s="163"/>
      <c r="F896" s="105"/>
      <c r="G896" s="105"/>
      <c r="H896" s="105">
        <v>5</v>
      </c>
      <c r="I896" s="105">
        <v>1</v>
      </c>
      <c r="J896" s="105"/>
      <c r="K896" s="105">
        <v>1</v>
      </c>
      <c r="L896" s="105"/>
      <c r="M896" s="105"/>
      <c r="N896" s="105"/>
      <c r="O896" s="105"/>
      <c r="P896" s="105"/>
      <c r="Q896" s="105"/>
      <c r="R896" s="105"/>
      <c r="S896" s="105"/>
      <c r="T896" s="106"/>
      <c r="U896" s="130"/>
      <c r="V896" s="1"/>
      <c r="W896" s="68">
        <f t="shared" si="222"/>
        <v>0</v>
      </c>
      <c r="X896" s="68">
        <f t="shared" si="223"/>
        <v>0</v>
      </c>
      <c r="Y896" s="68">
        <f t="shared" si="224"/>
        <v>0</v>
      </c>
      <c r="Z896" s="68">
        <f t="shared" si="225"/>
        <v>0</v>
      </c>
      <c r="AA896" s="68"/>
      <c r="AB896" s="68">
        <v>0</v>
      </c>
      <c r="AC896" s="69">
        <f t="shared" si="226"/>
        <v>0</v>
      </c>
      <c r="AD896" s="70">
        <v>0</v>
      </c>
      <c r="AE896" s="63">
        <v>40498</v>
      </c>
      <c r="AF896" s="72"/>
      <c r="AG896" s="63" t="s">
        <v>938</v>
      </c>
      <c r="AH896" s="23" t="s">
        <v>939</v>
      </c>
      <c r="AI896" s="60"/>
      <c r="AJ896" s="124" t="s">
        <v>52</v>
      </c>
      <c r="AK896" s="121" t="s">
        <v>53</v>
      </c>
      <c r="AL896" s="107"/>
      <c r="AM896" s="108"/>
      <c r="AN896" s="109"/>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c r="BJ896" s="108"/>
      <c r="BK896" s="108"/>
      <c r="BL896" s="108"/>
      <c r="BM896" s="108"/>
      <c r="BN896" s="108"/>
      <c r="BO896" s="108"/>
      <c r="BP896" s="108"/>
      <c r="BQ896" s="108"/>
      <c r="BR896" s="108"/>
      <c r="BS896" s="108"/>
      <c r="BT896" s="108"/>
      <c r="BU896" s="108"/>
      <c r="BV896" s="108"/>
      <c r="BW896" s="108"/>
      <c r="BX896" s="108"/>
      <c r="BY896" s="108"/>
      <c r="BZ896" s="108"/>
      <c r="CA896" s="108"/>
      <c r="CB896" s="108"/>
      <c r="CC896" s="108"/>
      <c r="CD896" s="108"/>
      <c r="CE896" s="108"/>
      <c r="CF896" s="108"/>
      <c r="CG896" s="108"/>
      <c r="CH896" s="108"/>
      <c r="CI896" s="108"/>
      <c r="CJ896" s="108"/>
      <c r="CK896" s="108"/>
      <c r="CL896" s="108"/>
      <c r="CM896" s="108"/>
      <c r="CN896" s="110"/>
      <c r="CO896" s="111"/>
      <c r="CP896" s="110"/>
      <c r="CQ896" s="111"/>
      <c r="CR896" s="110"/>
      <c r="CS896" s="111"/>
      <c r="CT896" s="112">
        <f t="shared" si="227"/>
        <v>0</v>
      </c>
      <c r="CU896" s="113"/>
      <c r="CV896" s="114"/>
      <c r="CW896" s="115"/>
      <c r="CX896" s="116"/>
      <c r="CY896" s="117"/>
      <c r="CZ896" s="116"/>
      <c r="DA896" s="113"/>
      <c r="DB896" s="114"/>
      <c r="DC896" s="64"/>
      <c r="DD896" s="118"/>
    </row>
    <row r="897" spans="1:108" s="119" customFormat="1" ht="36" outlineLevel="2">
      <c r="A897" s="178">
        <v>40500</v>
      </c>
      <c r="B897" s="164" t="s">
        <v>1665</v>
      </c>
      <c r="C897" s="164" t="s">
        <v>1915</v>
      </c>
      <c r="D897" s="165" t="s">
        <v>1182</v>
      </c>
      <c r="E897" s="163"/>
      <c r="F897" s="105">
        <v>1</v>
      </c>
      <c r="G897" s="105"/>
      <c r="H897" s="105">
        <v>13</v>
      </c>
      <c r="I897" s="105">
        <v>3</v>
      </c>
      <c r="J897" s="105">
        <v>1</v>
      </c>
      <c r="K897" s="105">
        <v>2</v>
      </c>
      <c r="L897" s="105"/>
      <c r="M897" s="105"/>
      <c r="N897" s="105"/>
      <c r="O897" s="105"/>
      <c r="P897" s="105"/>
      <c r="Q897" s="105"/>
      <c r="R897" s="105"/>
      <c r="S897" s="105"/>
      <c r="T897" s="106"/>
      <c r="U897" s="130"/>
      <c r="V897" s="1"/>
      <c r="W897" s="68">
        <f t="shared" si="222"/>
        <v>0</v>
      </c>
      <c r="X897" s="68">
        <f t="shared" si="223"/>
        <v>0</v>
      </c>
      <c r="Y897" s="68">
        <f t="shared" si="224"/>
        <v>0</v>
      </c>
      <c r="Z897" s="68">
        <f t="shared" si="225"/>
        <v>0</v>
      </c>
      <c r="AA897" s="68"/>
      <c r="AB897" s="68">
        <v>0</v>
      </c>
      <c r="AC897" s="69">
        <f t="shared" si="226"/>
        <v>0</v>
      </c>
      <c r="AD897" s="70">
        <v>0</v>
      </c>
      <c r="AE897" s="63">
        <v>40504</v>
      </c>
      <c r="AF897" s="72"/>
      <c r="AG897" s="63" t="s">
        <v>938</v>
      </c>
      <c r="AH897" s="23" t="s">
        <v>939</v>
      </c>
      <c r="AI897" s="60"/>
      <c r="AJ897" s="124" t="s">
        <v>1608</v>
      </c>
      <c r="AK897" s="121" t="s">
        <v>139</v>
      </c>
      <c r="AL897" s="107"/>
      <c r="AM897" s="108"/>
      <c r="AN897" s="109"/>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c r="BJ897" s="108"/>
      <c r="BK897" s="108"/>
      <c r="BL897" s="108"/>
      <c r="BM897" s="108"/>
      <c r="BN897" s="108"/>
      <c r="BO897" s="108"/>
      <c r="BP897" s="108"/>
      <c r="BQ897" s="108"/>
      <c r="BR897" s="108"/>
      <c r="BS897" s="108"/>
      <c r="BT897" s="108"/>
      <c r="BU897" s="108"/>
      <c r="BV897" s="108"/>
      <c r="BW897" s="108"/>
      <c r="BX897" s="108"/>
      <c r="BY897" s="108"/>
      <c r="BZ897" s="108"/>
      <c r="CA897" s="108"/>
      <c r="CB897" s="108"/>
      <c r="CC897" s="108"/>
      <c r="CD897" s="108"/>
      <c r="CE897" s="108"/>
      <c r="CF897" s="108"/>
      <c r="CG897" s="108"/>
      <c r="CH897" s="108"/>
      <c r="CI897" s="108"/>
      <c r="CJ897" s="108"/>
      <c r="CK897" s="108"/>
      <c r="CL897" s="108"/>
      <c r="CM897" s="108"/>
      <c r="CN897" s="110"/>
      <c r="CO897" s="111"/>
      <c r="CP897" s="110"/>
      <c r="CQ897" s="111"/>
      <c r="CR897" s="110"/>
      <c r="CS897" s="111"/>
      <c r="CT897" s="112">
        <f t="shared" si="227"/>
        <v>0</v>
      </c>
      <c r="CU897" s="113"/>
      <c r="CV897" s="114"/>
      <c r="CW897" s="115"/>
      <c r="CX897" s="116"/>
      <c r="CY897" s="117"/>
      <c r="CZ897" s="116"/>
      <c r="DA897" s="113"/>
      <c r="DB897" s="114"/>
      <c r="DC897" s="64"/>
      <c r="DD897" s="118"/>
    </row>
    <row r="898" spans="1:108" s="119" customFormat="1" ht="24" outlineLevel="2">
      <c r="A898" s="178">
        <v>40504</v>
      </c>
      <c r="B898" s="164" t="s">
        <v>1665</v>
      </c>
      <c r="C898" s="164" t="s">
        <v>762</v>
      </c>
      <c r="D898" s="166" t="s">
        <v>435</v>
      </c>
      <c r="E898" s="163"/>
      <c r="F898" s="105"/>
      <c r="G898" s="105"/>
      <c r="H898" s="105">
        <v>75</v>
      </c>
      <c r="I898" s="105">
        <v>15</v>
      </c>
      <c r="J898" s="105"/>
      <c r="K898" s="105">
        <v>15</v>
      </c>
      <c r="L898" s="105"/>
      <c r="M898" s="105"/>
      <c r="N898" s="105"/>
      <c r="O898" s="105"/>
      <c r="P898" s="105"/>
      <c r="Q898" s="105"/>
      <c r="R898" s="105"/>
      <c r="S898" s="105"/>
      <c r="T898" s="106"/>
      <c r="U898" s="130"/>
      <c r="V898" s="1"/>
      <c r="W898" s="68">
        <f t="shared" si="222"/>
        <v>0</v>
      </c>
      <c r="X898" s="68">
        <f t="shared" si="223"/>
        <v>0</v>
      </c>
      <c r="Y898" s="68">
        <f t="shared" si="224"/>
        <v>0</v>
      </c>
      <c r="Z898" s="68">
        <f t="shared" si="225"/>
        <v>0</v>
      </c>
      <c r="AA898" s="68"/>
      <c r="AB898" s="68">
        <v>0</v>
      </c>
      <c r="AC898" s="69">
        <f t="shared" si="226"/>
        <v>0</v>
      </c>
      <c r="AD898" s="70">
        <v>0</v>
      </c>
      <c r="AE898" s="63">
        <v>40506</v>
      </c>
      <c r="AF898" s="72"/>
      <c r="AG898" s="63" t="s">
        <v>938</v>
      </c>
      <c r="AH898" s="23" t="s">
        <v>939</v>
      </c>
      <c r="AI898" s="60"/>
      <c r="AJ898" s="124" t="s">
        <v>1608</v>
      </c>
      <c r="AK898" s="121" t="s">
        <v>294</v>
      </c>
      <c r="AL898" s="107"/>
      <c r="AM898" s="108"/>
      <c r="AN898" s="109"/>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c r="BJ898" s="108"/>
      <c r="BK898" s="108"/>
      <c r="BL898" s="108"/>
      <c r="BM898" s="108"/>
      <c r="BN898" s="108"/>
      <c r="BO898" s="108"/>
      <c r="BP898" s="108"/>
      <c r="BQ898" s="108"/>
      <c r="BR898" s="108"/>
      <c r="BS898" s="108"/>
      <c r="BT898" s="108"/>
      <c r="BU898" s="108"/>
      <c r="BV898" s="108"/>
      <c r="BW898" s="108"/>
      <c r="BX898" s="108"/>
      <c r="BY898" s="108"/>
      <c r="BZ898" s="108"/>
      <c r="CA898" s="108"/>
      <c r="CB898" s="108"/>
      <c r="CC898" s="108"/>
      <c r="CD898" s="108"/>
      <c r="CE898" s="108"/>
      <c r="CF898" s="108"/>
      <c r="CG898" s="108"/>
      <c r="CH898" s="108"/>
      <c r="CI898" s="108"/>
      <c r="CJ898" s="108"/>
      <c r="CK898" s="108"/>
      <c r="CL898" s="108"/>
      <c r="CM898" s="108"/>
      <c r="CN898" s="110"/>
      <c r="CO898" s="111"/>
      <c r="CP898" s="110"/>
      <c r="CQ898" s="111"/>
      <c r="CR898" s="110"/>
      <c r="CS898" s="111"/>
      <c r="CT898" s="112">
        <f t="shared" si="227"/>
        <v>0</v>
      </c>
      <c r="CU898" s="113"/>
      <c r="CV898" s="114"/>
      <c r="CW898" s="115"/>
      <c r="CX898" s="116"/>
      <c r="CY898" s="117"/>
      <c r="CZ898" s="116"/>
      <c r="DA898" s="113"/>
      <c r="DB898" s="114"/>
      <c r="DC898" s="64"/>
      <c r="DD898" s="118"/>
    </row>
    <row r="899" spans="1:108" s="119" customFormat="1" ht="36" outlineLevel="2">
      <c r="A899" s="178">
        <v>40504</v>
      </c>
      <c r="B899" s="164" t="s">
        <v>1665</v>
      </c>
      <c r="C899" s="164" t="s">
        <v>1123</v>
      </c>
      <c r="D899" s="165" t="s">
        <v>1182</v>
      </c>
      <c r="E899" s="163"/>
      <c r="F899" s="105"/>
      <c r="G899" s="105"/>
      <c r="H899" s="105"/>
      <c r="I899" s="105"/>
      <c r="J899" s="105"/>
      <c r="K899" s="105"/>
      <c r="L899" s="105"/>
      <c r="M899" s="105"/>
      <c r="N899" s="105"/>
      <c r="O899" s="105">
        <v>1</v>
      </c>
      <c r="P899" s="105"/>
      <c r="Q899" s="105"/>
      <c r="R899" s="105"/>
      <c r="S899" s="105"/>
      <c r="T899" s="106"/>
      <c r="U899" s="130" t="s">
        <v>719</v>
      </c>
      <c r="V899" s="1"/>
      <c r="W899" s="68">
        <f t="shared" si="222"/>
        <v>0</v>
      </c>
      <c r="X899" s="68">
        <f t="shared" si="223"/>
        <v>0</v>
      </c>
      <c r="Y899" s="68">
        <f t="shared" si="224"/>
        <v>0</v>
      </c>
      <c r="Z899" s="68">
        <f t="shared" si="225"/>
        <v>0</v>
      </c>
      <c r="AA899" s="68"/>
      <c r="AB899" s="68">
        <v>0</v>
      </c>
      <c r="AC899" s="69">
        <f t="shared" si="226"/>
        <v>0</v>
      </c>
      <c r="AD899" s="70">
        <v>0</v>
      </c>
      <c r="AE899" s="63">
        <v>40505</v>
      </c>
      <c r="AF899" s="72"/>
      <c r="AG899" s="63" t="s">
        <v>938</v>
      </c>
      <c r="AH899" s="23" t="s">
        <v>939</v>
      </c>
      <c r="AI899" s="60"/>
      <c r="AJ899" s="124" t="s">
        <v>1608</v>
      </c>
      <c r="AK899" s="121" t="s">
        <v>723</v>
      </c>
      <c r="AL899" s="107"/>
      <c r="AM899" s="108"/>
      <c r="AN899" s="109"/>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c r="BJ899" s="108"/>
      <c r="BK899" s="108"/>
      <c r="BL899" s="108"/>
      <c r="BM899" s="108"/>
      <c r="BN899" s="108"/>
      <c r="BO899" s="108"/>
      <c r="BP899" s="108"/>
      <c r="BQ899" s="108"/>
      <c r="BR899" s="108"/>
      <c r="BS899" s="108"/>
      <c r="BT899" s="108"/>
      <c r="BU899" s="108"/>
      <c r="BV899" s="108"/>
      <c r="BW899" s="108"/>
      <c r="BX899" s="108"/>
      <c r="BY899" s="108"/>
      <c r="BZ899" s="108"/>
      <c r="CA899" s="108"/>
      <c r="CB899" s="108"/>
      <c r="CC899" s="108"/>
      <c r="CD899" s="108"/>
      <c r="CE899" s="108"/>
      <c r="CF899" s="108"/>
      <c r="CG899" s="108"/>
      <c r="CH899" s="108"/>
      <c r="CI899" s="108"/>
      <c r="CJ899" s="108"/>
      <c r="CK899" s="108"/>
      <c r="CL899" s="108"/>
      <c r="CM899" s="108"/>
      <c r="CN899" s="110"/>
      <c r="CO899" s="111"/>
      <c r="CP899" s="110"/>
      <c r="CQ899" s="111"/>
      <c r="CR899" s="110"/>
      <c r="CS899" s="111"/>
      <c r="CT899" s="112">
        <f t="shared" si="227"/>
        <v>0</v>
      </c>
      <c r="CU899" s="113"/>
      <c r="CV899" s="114"/>
      <c r="CW899" s="115"/>
      <c r="CX899" s="116"/>
      <c r="CY899" s="117"/>
      <c r="CZ899" s="116"/>
      <c r="DA899" s="113"/>
      <c r="DB899" s="114"/>
      <c r="DC899" s="64"/>
      <c r="DD899" s="118"/>
    </row>
    <row r="900" spans="1:108" s="119" customFormat="1" ht="24" outlineLevel="2">
      <c r="A900" s="178">
        <v>40504</v>
      </c>
      <c r="B900" s="164" t="s">
        <v>1665</v>
      </c>
      <c r="C900" s="164" t="s">
        <v>1697</v>
      </c>
      <c r="D900" s="165" t="s">
        <v>1182</v>
      </c>
      <c r="E900" s="163"/>
      <c r="F900" s="105">
        <v>3</v>
      </c>
      <c r="G900" s="105"/>
      <c r="H900" s="105">
        <v>3</v>
      </c>
      <c r="I900" s="105">
        <v>1</v>
      </c>
      <c r="J900" s="105">
        <v>1</v>
      </c>
      <c r="K900" s="105"/>
      <c r="L900" s="105">
        <v>1</v>
      </c>
      <c r="M900" s="105"/>
      <c r="N900" s="105"/>
      <c r="O900" s="105"/>
      <c r="P900" s="105"/>
      <c r="Q900" s="105"/>
      <c r="R900" s="105"/>
      <c r="S900" s="105"/>
      <c r="T900" s="106"/>
      <c r="U900" s="130"/>
      <c r="V900" s="1"/>
      <c r="W900" s="68">
        <f t="shared" si="222"/>
        <v>0</v>
      </c>
      <c r="X900" s="68">
        <f t="shared" si="223"/>
        <v>0</v>
      </c>
      <c r="Y900" s="68">
        <f t="shared" si="224"/>
        <v>0</v>
      </c>
      <c r="Z900" s="68">
        <f t="shared" si="225"/>
        <v>0</v>
      </c>
      <c r="AA900" s="68"/>
      <c r="AB900" s="68">
        <v>0</v>
      </c>
      <c r="AC900" s="69">
        <f t="shared" si="226"/>
        <v>0</v>
      </c>
      <c r="AD900" s="70">
        <v>0</v>
      </c>
      <c r="AE900" s="63">
        <v>40506</v>
      </c>
      <c r="AF900" s="72"/>
      <c r="AG900" s="63" t="s">
        <v>938</v>
      </c>
      <c r="AH900" s="23" t="s">
        <v>939</v>
      </c>
      <c r="AI900" s="60"/>
      <c r="AJ900" s="124" t="s">
        <v>1608</v>
      </c>
      <c r="AK900" s="121" t="s">
        <v>152</v>
      </c>
      <c r="AL900" s="107"/>
      <c r="AM900" s="108"/>
      <c r="AN900" s="109"/>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c r="BJ900" s="108"/>
      <c r="BK900" s="108"/>
      <c r="BL900" s="108"/>
      <c r="BM900" s="108"/>
      <c r="BN900" s="108"/>
      <c r="BO900" s="108"/>
      <c r="BP900" s="108"/>
      <c r="BQ900" s="108"/>
      <c r="BR900" s="108"/>
      <c r="BS900" s="108"/>
      <c r="BT900" s="108"/>
      <c r="BU900" s="108"/>
      <c r="BV900" s="108"/>
      <c r="BW900" s="108"/>
      <c r="BX900" s="108"/>
      <c r="BY900" s="108"/>
      <c r="BZ900" s="108"/>
      <c r="CA900" s="108"/>
      <c r="CB900" s="108"/>
      <c r="CC900" s="108"/>
      <c r="CD900" s="108"/>
      <c r="CE900" s="108"/>
      <c r="CF900" s="108"/>
      <c r="CG900" s="108"/>
      <c r="CH900" s="108"/>
      <c r="CI900" s="108"/>
      <c r="CJ900" s="108"/>
      <c r="CK900" s="108"/>
      <c r="CL900" s="108"/>
      <c r="CM900" s="108"/>
      <c r="CN900" s="110"/>
      <c r="CO900" s="111"/>
      <c r="CP900" s="110"/>
      <c r="CQ900" s="111"/>
      <c r="CR900" s="110"/>
      <c r="CS900" s="111"/>
      <c r="CT900" s="112">
        <f t="shared" si="227"/>
        <v>0</v>
      </c>
      <c r="CU900" s="113"/>
      <c r="CV900" s="114"/>
      <c r="CW900" s="115"/>
      <c r="CX900" s="116"/>
      <c r="CY900" s="117"/>
      <c r="CZ900" s="116"/>
      <c r="DA900" s="113"/>
      <c r="DB900" s="114"/>
      <c r="DC900" s="64"/>
      <c r="DD900" s="118"/>
    </row>
    <row r="901" spans="1:108" s="119" customFormat="1" ht="48" outlineLevel="2">
      <c r="A901" s="178">
        <v>40506</v>
      </c>
      <c r="B901" s="164" t="s">
        <v>1665</v>
      </c>
      <c r="C901" s="164" t="s">
        <v>1915</v>
      </c>
      <c r="D901" s="166" t="s">
        <v>1262</v>
      </c>
      <c r="E901" s="163"/>
      <c r="F901" s="105"/>
      <c r="G901" s="105"/>
      <c r="H901" s="105">
        <v>5</v>
      </c>
      <c r="I901" s="105">
        <v>1</v>
      </c>
      <c r="J901" s="105"/>
      <c r="K901" s="105">
        <v>1</v>
      </c>
      <c r="L901" s="105"/>
      <c r="M901" s="105"/>
      <c r="N901" s="105"/>
      <c r="O901" s="105">
        <v>1</v>
      </c>
      <c r="P901" s="105"/>
      <c r="Q901" s="105"/>
      <c r="R901" s="105"/>
      <c r="S901" s="105"/>
      <c r="T901" s="106"/>
      <c r="U901" s="130"/>
      <c r="V901" s="1"/>
      <c r="W901" s="68">
        <f t="shared" si="222"/>
        <v>0</v>
      </c>
      <c r="X901" s="68">
        <f t="shared" si="223"/>
        <v>0</v>
      </c>
      <c r="Y901" s="68">
        <f t="shared" si="224"/>
        <v>0</v>
      </c>
      <c r="Z901" s="68">
        <f t="shared" si="225"/>
        <v>0</v>
      </c>
      <c r="AA901" s="68"/>
      <c r="AB901" s="68">
        <v>0</v>
      </c>
      <c r="AC901" s="69">
        <f t="shared" si="226"/>
        <v>0</v>
      </c>
      <c r="AD901" s="70">
        <v>0</v>
      </c>
      <c r="AE901" s="63">
        <v>40508</v>
      </c>
      <c r="AF901" s="72"/>
      <c r="AG901" s="63" t="s">
        <v>938</v>
      </c>
      <c r="AH901" s="23" t="s">
        <v>939</v>
      </c>
      <c r="AI901" s="60"/>
      <c r="AJ901" s="124" t="s">
        <v>1608</v>
      </c>
      <c r="AK901" s="121" t="s">
        <v>325</v>
      </c>
      <c r="AL901" s="107"/>
      <c r="AM901" s="108"/>
      <c r="AN901" s="109"/>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c r="BJ901" s="108"/>
      <c r="BK901" s="108"/>
      <c r="BL901" s="108"/>
      <c r="BM901" s="108"/>
      <c r="BN901" s="108"/>
      <c r="BO901" s="108"/>
      <c r="BP901" s="108"/>
      <c r="BQ901" s="108"/>
      <c r="BR901" s="108"/>
      <c r="BS901" s="108"/>
      <c r="BT901" s="108"/>
      <c r="BU901" s="108"/>
      <c r="BV901" s="108"/>
      <c r="BW901" s="108"/>
      <c r="BX901" s="108"/>
      <c r="BY901" s="108"/>
      <c r="BZ901" s="108"/>
      <c r="CA901" s="108"/>
      <c r="CB901" s="108"/>
      <c r="CC901" s="108"/>
      <c r="CD901" s="108"/>
      <c r="CE901" s="108"/>
      <c r="CF901" s="108"/>
      <c r="CG901" s="108"/>
      <c r="CH901" s="108"/>
      <c r="CI901" s="108"/>
      <c r="CJ901" s="108"/>
      <c r="CK901" s="108"/>
      <c r="CL901" s="108"/>
      <c r="CM901" s="108"/>
      <c r="CN901" s="110"/>
      <c r="CO901" s="111"/>
      <c r="CP901" s="110"/>
      <c r="CQ901" s="111"/>
      <c r="CR901" s="110"/>
      <c r="CS901" s="111"/>
      <c r="CT901" s="112">
        <f t="shared" si="227"/>
        <v>0</v>
      </c>
      <c r="CU901" s="113"/>
      <c r="CV901" s="114"/>
      <c r="CW901" s="115"/>
      <c r="CX901" s="116"/>
      <c r="CY901" s="117"/>
      <c r="CZ901" s="116"/>
      <c r="DA901" s="113"/>
      <c r="DB901" s="114"/>
      <c r="DC901" s="64"/>
      <c r="DD901" s="118"/>
    </row>
    <row r="902" spans="1:108" s="119" customFormat="1" ht="48" outlineLevel="2">
      <c r="A902" s="178">
        <v>40506</v>
      </c>
      <c r="B902" s="164" t="s">
        <v>1665</v>
      </c>
      <c r="C902" s="164" t="s">
        <v>326</v>
      </c>
      <c r="D902" s="166" t="s">
        <v>1182</v>
      </c>
      <c r="E902" s="163"/>
      <c r="F902" s="105"/>
      <c r="G902" s="105"/>
      <c r="H902" s="105">
        <v>4</v>
      </c>
      <c r="I902" s="105">
        <v>1</v>
      </c>
      <c r="J902" s="105"/>
      <c r="K902" s="105">
        <v>1</v>
      </c>
      <c r="L902" s="105">
        <v>1</v>
      </c>
      <c r="M902" s="105"/>
      <c r="N902" s="105"/>
      <c r="O902" s="105"/>
      <c r="P902" s="105"/>
      <c r="Q902" s="105"/>
      <c r="R902" s="105"/>
      <c r="S902" s="105"/>
      <c r="T902" s="106"/>
      <c r="U902" s="130"/>
      <c r="V902" s="1"/>
      <c r="W902" s="68">
        <f t="shared" si="222"/>
        <v>0</v>
      </c>
      <c r="X902" s="68">
        <f t="shared" si="223"/>
        <v>0</v>
      </c>
      <c r="Y902" s="68">
        <f t="shared" si="224"/>
        <v>0</v>
      </c>
      <c r="Z902" s="68">
        <f t="shared" si="225"/>
        <v>0</v>
      </c>
      <c r="AA902" s="68"/>
      <c r="AB902" s="68">
        <v>0</v>
      </c>
      <c r="AC902" s="69">
        <f t="shared" si="226"/>
        <v>0</v>
      </c>
      <c r="AD902" s="70">
        <v>0</v>
      </c>
      <c r="AE902" s="63">
        <v>40508</v>
      </c>
      <c r="AF902" s="72"/>
      <c r="AG902" s="63" t="s">
        <v>938</v>
      </c>
      <c r="AH902" s="23" t="s">
        <v>939</v>
      </c>
      <c r="AI902" s="60"/>
      <c r="AJ902" s="124" t="s">
        <v>1608</v>
      </c>
      <c r="AK902" s="121" t="s">
        <v>138</v>
      </c>
      <c r="AL902" s="107"/>
      <c r="AM902" s="108"/>
      <c r="AN902" s="109"/>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c r="BJ902" s="108"/>
      <c r="BK902" s="108"/>
      <c r="BL902" s="108"/>
      <c r="BM902" s="108"/>
      <c r="BN902" s="108"/>
      <c r="BO902" s="108"/>
      <c r="BP902" s="108"/>
      <c r="BQ902" s="108"/>
      <c r="BR902" s="108"/>
      <c r="BS902" s="108"/>
      <c r="BT902" s="108"/>
      <c r="BU902" s="108"/>
      <c r="BV902" s="108"/>
      <c r="BW902" s="108"/>
      <c r="BX902" s="108"/>
      <c r="BY902" s="108"/>
      <c r="BZ902" s="108"/>
      <c r="CA902" s="108"/>
      <c r="CB902" s="108"/>
      <c r="CC902" s="108"/>
      <c r="CD902" s="108"/>
      <c r="CE902" s="108"/>
      <c r="CF902" s="108"/>
      <c r="CG902" s="108"/>
      <c r="CH902" s="108"/>
      <c r="CI902" s="108"/>
      <c r="CJ902" s="108"/>
      <c r="CK902" s="108"/>
      <c r="CL902" s="108"/>
      <c r="CM902" s="108"/>
      <c r="CN902" s="110"/>
      <c r="CO902" s="111"/>
      <c r="CP902" s="110"/>
      <c r="CQ902" s="111"/>
      <c r="CR902" s="110"/>
      <c r="CS902" s="111"/>
      <c r="CT902" s="112">
        <f t="shared" si="227"/>
        <v>0</v>
      </c>
      <c r="CU902" s="113"/>
      <c r="CV902" s="114"/>
      <c r="CW902" s="115"/>
      <c r="CX902" s="116"/>
      <c r="CY902" s="117"/>
      <c r="CZ902" s="116"/>
      <c r="DA902" s="113"/>
      <c r="DB902" s="114"/>
      <c r="DC902" s="64"/>
      <c r="DD902" s="118"/>
    </row>
    <row r="903" spans="1:108" s="119" customFormat="1" ht="36" outlineLevel="2">
      <c r="A903" s="178">
        <v>40508</v>
      </c>
      <c r="B903" s="164" t="s">
        <v>1665</v>
      </c>
      <c r="C903" s="164" t="s">
        <v>888</v>
      </c>
      <c r="D903" s="166" t="s">
        <v>435</v>
      </c>
      <c r="E903" s="163"/>
      <c r="F903" s="105"/>
      <c r="G903" s="105"/>
      <c r="H903" s="105">
        <v>20</v>
      </c>
      <c r="I903" s="105">
        <v>4</v>
      </c>
      <c r="J903" s="105"/>
      <c r="K903" s="105">
        <v>4</v>
      </c>
      <c r="L903" s="105"/>
      <c r="M903" s="105"/>
      <c r="N903" s="105"/>
      <c r="O903" s="105"/>
      <c r="P903" s="105"/>
      <c r="Q903" s="105"/>
      <c r="R903" s="105"/>
      <c r="S903" s="105"/>
      <c r="T903" s="106"/>
      <c r="U903" s="130"/>
      <c r="V903" s="1"/>
      <c r="W903" s="68">
        <f t="shared" si="222"/>
        <v>0</v>
      </c>
      <c r="X903" s="68">
        <f t="shared" si="223"/>
        <v>0</v>
      </c>
      <c r="Y903" s="68">
        <f t="shared" si="224"/>
        <v>0</v>
      </c>
      <c r="Z903" s="68">
        <f t="shared" si="225"/>
        <v>0</v>
      </c>
      <c r="AA903" s="68"/>
      <c r="AB903" s="68">
        <v>0</v>
      </c>
      <c r="AC903" s="69">
        <f t="shared" si="226"/>
        <v>0</v>
      </c>
      <c r="AD903" s="70">
        <v>0</v>
      </c>
      <c r="AE903" s="63"/>
      <c r="AF903" s="72"/>
      <c r="AG903" s="63"/>
      <c r="AH903" s="23"/>
      <c r="AI903" s="60"/>
      <c r="AJ903" s="124"/>
      <c r="AK903" s="121" t="s">
        <v>137</v>
      </c>
      <c r="AL903" s="107"/>
      <c r="AM903" s="108"/>
      <c r="AN903" s="109"/>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c r="BJ903" s="108"/>
      <c r="BK903" s="108"/>
      <c r="BL903" s="108"/>
      <c r="BM903" s="108"/>
      <c r="BN903" s="108"/>
      <c r="BO903" s="108"/>
      <c r="BP903" s="108"/>
      <c r="BQ903" s="108"/>
      <c r="BR903" s="108"/>
      <c r="BS903" s="108"/>
      <c r="BT903" s="108"/>
      <c r="BU903" s="108"/>
      <c r="BV903" s="108"/>
      <c r="BW903" s="108"/>
      <c r="BX903" s="108"/>
      <c r="BY903" s="108"/>
      <c r="BZ903" s="108"/>
      <c r="CA903" s="108"/>
      <c r="CB903" s="108"/>
      <c r="CC903" s="108"/>
      <c r="CD903" s="108"/>
      <c r="CE903" s="108"/>
      <c r="CF903" s="108"/>
      <c r="CG903" s="108"/>
      <c r="CH903" s="108"/>
      <c r="CI903" s="108"/>
      <c r="CJ903" s="108"/>
      <c r="CK903" s="108"/>
      <c r="CL903" s="108"/>
      <c r="CM903" s="108"/>
      <c r="CN903" s="110"/>
      <c r="CO903" s="111"/>
      <c r="CP903" s="110"/>
      <c r="CQ903" s="111"/>
      <c r="CR903" s="110"/>
      <c r="CS903" s="111"/>
      <c r="CT903" s="112">
        <f t="shared" si="227"/>
        <v>0</v>
      </c>
      <c r="CU903" s="113"/>
      <c r="CV903" s="114"/>
      <c r="CW903" s="115"/>
      <c r="CX903" s="116"/>
      <c r="CY903" s="117"/>
      <c r="CZ903" s="116"/>
      <c r="DA903" s="113"/>
      <c r="DB903" s="114"/>
      <c r="DC903" s="64"/>
      <c r="DD903" s="118"/>
    </row>
    <row r="904" spans="1:108" s="119" customFormat="1" ht="24" outlineLevel="2">
      <c r="A904" s="178">
        <v>40510</v>
      </c>
      <c r="B904" s="164" t="s">
        <v>1665</v>
      </c>
      <c r="C904" s="164" t="s">
        <v>1823</v>
      </c>
      <c r="D904" s="166" t="s">
        <v>1182</v>
      </c>
      <c r="E904" s="163"/>
      <c r="F904" s="105"/>
      <c r="G904" s="105"/>
      <c r="H904" s="105">
        <v>12</v>
      </c>
      <c r="I904" s="105">
        <v>3</v>
      </c>
      <c r="J904" s="105"/>
      <c r="K904" s="105">
        <v>1</v>
      </c>
      <c r="L904" s="105"/>
      <c r="M904" s="105"/>
      <c r="N904" s="105"/>
      <c r="O904" s="105"/>
      <c r="P904" s="105"/>
      <c r="Q904" s="105"/>
      <c r="R904" s="105"/>
      <c r="S904" s="105"/>
      <c r="T904" s="106"/>
      <c r="U904" s="130"/>
      <c r="V904" s="1"/>
      <c r="W904" s="68">
        <f t="shared" si="222"/>
        <v>0</v>
      </c>
      <c r="X904" s="68">
        <f t="shared" si="223"/>
        <v>0</v>
      </c>
      <c r="Y904" s="68">
        <f t="shared" si="224"/>
        <v>0</v>
      </c>
      <c r="Z904" s="68">
        <f t="shared" si="225"/>
        <v>0</v>
      </c>
      <c r="AA904" s="68"/>
      <c r="AB904" s="68">
        <v>0</v>
      </c>
      <c r="AC904" s="69">
        <f t="shared" si="226"/>
        <v>0</v>
      </c>
      <c r="AD904" s="70">
        <v>0</v>
      </c>
      <c r="AE904" s="63"/>
      <c r="AF904" s="72"/>
      <c r="AG904" s="63"/>
      <c r="AH904" s="23"/>
      <c r="AI904" s="60"/>
      <c r="AJ904" s="124"/>
      <c r="AK904" s="121" t="s">
        <v>135</v>
      </c>
      <c r="AL904" s="107"/>
      <c r="AM904" s="108"/>
      <c r="AN904" s="109"/>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c r="BJ904" s="108"/>
      <c r="BK904" s="108"/>
      <c r="BL904" s="108"/>
      <c r="BM904" s="108"/>
      <c r="BN904" s="108"/>
      <c r="BO904" s="108"/>
      <c r="BP904" s="108"/>
      <c r="BQ904" s="108"/>
      <c r="BR904" s="108"/>
      <c r="BS904" s="108"/>
      <c r="BT904" s="108"/>
      <c r="BU904" s="108"/>
      <c r="BV904" s="108"/>
      <c r="BW904" s="108"/>
      <c r="BX904" s="108"/>
      <c r="BY904" s="108"/>
      <c r="BZ904" s="108"/>
      <c r="CA904" s="108"/>
      <c r="CB904" s="108"/>
      <c r="CC904" s="108"/>
      <c r="CD904" s="108"/>
      <c r="CE904" s="108"/>
      <c r="CF904" s="108"/>
      <c r="CG904" s="108"/>
      <c r="CH904" s="108"/>
      <c r="CI904" s="108"/>
      <c r="CJ904" s="108"/>
      <c r="CK904" s="108"/>
      <c r="CL904" s="108"/>
      <c r="CM904" s="108"/>
      <c r="CN904" s="110"/>
      <c r="CO904" s="111"/>
      <c r="CP904" s="110"/>
      <c r="CQ904" s="111"/>
      <c r="CR904" s="110"/>
      <c r="CS904" s="111"/>
      <c r="CT904" s="112">
        <f t="shared" si="227"/>
        <v>0</v>
      </c>
      <c r="CU904" s="113"/>
      <c r="CV904" s="114"/>
      <c r="CW904" s="115"/>
      <c r="CX904" s="116"/>
      <c r="CY904" s="117"/>
      <c r="CZ904" s="116"/>
      <c r="DA904" s="113"/>
      <c r="DB904" s="114"/>
      <c r="DC904" s="64"/>
      <c r="DD904" s="118"/>
    </row>
    <row r="905" spans="1:108" s="119" customFormat="1" ht="24" outlineLevel="2">
      <c r="A905" s="178">
        <v>40510</v>
      </c>
      <c r="B905" s="164" t="s">
        <v>1665</v>
      </c>
      <c r="C905" s="164" t="s">
        <v>1915</v>
      </c>
      <c r="D905" s="166" t="s">
        <v>1262</v>
      </c>
      <c r="E905" s="163"/>
      <c r="F905" s="105"/>
      <c r="G905" s="105"/>
      <c r="H905" s="105">
        <v>35</v>
      </c>
      <c r="I905" s="105">
        <v>7</v>
      </c>
      <c r="J905" s="105"/>
      <c r="K905" s="105">
        <v>7</v>
      </c>
      <c r="L905" s="105"/>
      <c r="M905" s="105"/>
      <c r="N905" s="105"/>
      <c r="O905" s="105"/>
      <c r="P905" s="105"/>
      <c r="Q905" s="105"/>
      <c r="R905" s="105"/>
      <c r="S905" s="105"/>
      <c r="T905" s="106"/>
      <c r="U905" s="130"/>
      <c r="V905" s="1"/>
      <c r="W905" s="68">
        <f t="shared" si="222"/>
        <v>0</v>
      </c>
      <c r="X905" s="68">
        <f t="shared" si="223"/>
        <v>0</v>
      </c>
      <c r="Y905" s="68">
        <f t="shared" si="224"/>
        <v>0</v>
      </c>
      <c r="Z905" s="68">
        <f t="shared" si="225"/>
        <v>0</v>
      </c>
      <c r="AA905" s="68"/>
      <c r="AB905" s="68">
        <v>0</v>
      </c>
      <c r="AC905" s="69">
        <f t="shared" si="226"/>
        <v>0</v>
      </c>
      <c r="AD905" s="70">
        <v>0</v>
      </c>
      <c r="AE905" s="63">
        <v>40512</v>
      </c>
      <c r="AF905" s="72"/>
      <c r="AG905" s="63" t="s">
        <v>938</v>
      </c>
      <c r="AH905" s="23" t="s">
        <v>939</v>
      </c>
      <c r="AI905" s="60"/>
      <c r="AJ905" s="124" t="s">
        <v>1608</v>
      </c>
      <c r="AK905" s="121" t="s">
        <v>2078</v>
      </c>
      <c r="AL905" s="107"/>
      <c r="AM905" s="108"/>
      <c r="AN905" s="109"/>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c r="BJ905" s="108"/>
      <c r="BK905" s="108"/>
      <c r="BL905" s="108"/>
      <c r="BM905" s="108"/>
      <c r="BN905" s="108"/>
      <c r="BO905" s="108"/>
      <c r="BP905" s="108"/>
      <c r="BQ905" s="108"/>
      <c r="BR905" s="108"/>
      <c r="BS905" s="108"/>
      <c r="BT905" s="108"/>
      <c r="BU905" s="108"/>
      <c r="BV905" s="108"/>
      <c r="BW905" s="108"/>
      <c r="BX905" s="108"/>
      <c r="BY905" s="108"/>
      <c r="BZ905" s="108"/>
      <c r="CA905" s="108"/>
      <c r="CB905" s="108"/>
      <c r="CC905" s="108"/>
      <c r="CD905" s="108"/>
      <c r="CE905" s="108"/>
      <c r="CF905" s="108"/>
      <c r="CG905" s="108"/>
      <c r="CH905" s="108"/>
      <c r="CI905" s="108"/>
      <c r="CJ905" s="108"/>
      <c r="CK905" s="108"/>
      <c r="CL905" s="108"/>
      <c r="CM905" s="108"/>
      <c r="CN905" s="110"/>
      <c r="CO905" s="111"/>
      <c r="CP905" s="110"/>
      <c r="CQ905" s="111"/>
      <c r="CR905" s="110"/>
      <c r="CS905" s="111"/>
      <c r="CT905" s="112">
        <f t="shared" si="227"/>
        <v>0</v>
      </c>
      <c r="CU905" s="113"/>
      <c r="CV905" s="114"/>
      <c r="CW905" s="115"/>
      <c r="CX905" s="116"/>
      <c r="CY905" s="117"/>
      <c r="CZ905" s="116"/>
      <c r="DA905" s="113"/>
      <c r="DB905" s="114"/>
      <c r="DC905" s="64"/>
      <c r="DD905" s="118"/>
    </row>
    <row r="906" spans="1:108" s="119" customFormat="1" ht="24" outlineLevel="2">
      <c r="A906" s="178">
        <v>40514</v>
      </c>
      <c r="B906" s="164" t="s">
        <v>1665</v>
      </c>
      <c r="C906" s="164" t="s">
        <v>1823</v>
      </c>
      <c r="D906" s="166" t="s">
        <v>1262</v>
      </c>
      <c r="E906" s="163"/>
      <c r="F906" s="105"/>
      <c r="G906" s="105"/>
      <c r="H906" s="105">
        <v>15</v>
      </c>
      <c r="I906" s="105">
        <v>3</v>
      </c>
      <c r="J906" s="105"/>
      <c r="K906" s="105">
        <v>3</v>
      </c>
      <c r="L906" s="105"/>
      <c r="M906" s="105"/>
      <c r="N906" s="105"/>
      <c r="O906" s="105"/>
      <c r="P906" s="105"/>
      <c r="Q906" s="105"/>
      <c r="R906" s="105"/>
      <c r="S906" s="105"/>
      <c r="T906" s="106"/>
      <c r="U906" s="130"/>
      <c r="V906" s="1"/>
      <c r="W906" s="68">
        <f t="shared" si="222"/>
        <v>0</v>
      </c>
      <c r="X906" s="68">
        <f t="shared" si="223"/>
        <v>0</v>
      </c>
      <c r="Y906" s="68">
        <f t="shared" si="224"/>
        <v>0</v>
      </c>
      <c r="Z906" s="68">
        <f t="shared" si="225"/>
        <v>0</v>
      </c>
      <c r="AA906" s="68"/>
      <c r="AB906" s="68">
        <v>0</v>
      </c>
      <c r="AC906" s="69">
        <f t="shared" si="226"/>
        <v>0</v>
      </c>
      <c r="AD906" s="70">
        <v>0</v>
      </c>
      <c r="AE906" s="63"/>
      <c r="AF906" s="72"/>
      <c r="AG906" s="63"/>
      <c r="AH906" s="23"/>
      <c r="AI906" s="60"/>
      <c r="AJ906" s="124"/>
      <c r="AK906" s="121" t="s">
        <v>151</v>
      </c>
      <c r="AL906" s="107"/>
      <c r="AM906" s="108"/>
      <c r="AN906" s="109"/>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c r="BJ906" s="108"/>
      <c r="BK906" s="108"/>
      <c r="BL906" s="108"/>
      <c r="BM906" s="108"/>
      <c r="BN906" s="108"/>
      <c r="BO906" s="108"/>
      <c r="BP906" s="108"/>
      <c r="BQ906" s="108"/>
      <c r="BR906" s="108"/>
      <c r="BS906" s="108"/>
      <c r="BT906" s="108"/>
      <c r="BU906" s="108"/>
      <c r="BV906" s="108"/>
      <c r="BW906" s="108"/>
      <c r="BX906" s="108"/>
      <c r="BY906" s="108"/>
      <c r="BZ906" s="108"/>
      <c r="CA906" s="108"/>
      <c r="CB906" s="108"/>
      <c r="CC906" s="108"/>
      <c r="CD906" s="108"/>
      <c r="CE906" s="108"/>
      <c r="CF906" s="108"/>
      <c r="CG906" s="108"/>
      <c r="CH906" s="108"/>
      <c r="CI906" s="108"/>
      <c r="CJ906" s="108"/>
      <c r="CK906" s="108"/>
      <c r="CL906" s="108"/>
      <c r="CM906" s="108"/>
      <c r="CN906" s="110"/>
      <c r="CO906" s="111"/>
      <c r="CP906" s="110"/>
      <c r="CQ906" s="111"/>
      <c r="CR906" s="110"/>
      <c r="CS906" s="111"/>
      <c r="CT906" s="112">
        <f t="shared" si="227"/>
        <v>0</v>
      </c>
      <c r="CU906" s="113"/>
      <c r="CV906" s="114"/>
      <c r="CW906" s="115"/>
      <c r="CX906" s="116"/>
      <c r="CY906" s="117"/>
      <c r="CZ906" s="116"/>
      <c r="DA906" s="113"/>
      <c r="DB906" s="114"/>
      <c r="DC906" s="64"/>
      <c r="DD906" s="118"/>
    </row>
    <row r="907" spans="1:108" s="119" customFormat="1" ht="24" outlineLevel="2">
      <c r="A907" s="178">
        <v>40514</v>
      </c>
      <c r="B907" s="164" t="s">
        <v>1665</v>
      </c>
      <c r="C907" s="164" t="s">
        <v>1123</v>
      </c>
      <c r="D907" s="166" t="s">
        <v>1262</v>
      </c>
      <c r="E907" s="163"/>
      <c r="F907" s="105"/>
      <c r="G907" s="105"/>
      <c r="H907" s="105">
        <v>42</v>
      </c>
      <c r="I907" s="105">
        <v>14</v>
      </c>
      <c r="J907" s="105"/>
      <c r="K907" s="105">
        <v>14</v>
      </c>
      <c r="L907" s="105"/>
      <c r="M907" s="105"/>
      <c r="N907" s="105"/>
      <c r="O907" s="105"/>
      <c r="P907" s="105"/>
      <c r="Q907" s="105"/>
      <c r="R907" s="105"/>
      <c r="S907" s="105"/>
      <c r="T907" s="106"/>
      <c r="U907" s="130"/>
      <c r="V907" s="1"/>
      <c r="W907" s="68">
        <f t="shared" si="222"/>
        <v>0</v>
      </c>
      <c r="X907" s="68">
        <f t="shared" si="223"/>
        <v>0</v>
      </c>
      <c r="Y907" s="68">
        <f t="shared" si="224"/>
        <v>0</v>
      </c>
      <c r="Z907" s="68">
        <f t="shared" si="225"/>
        <v>0</v>
      </c>
      <c r="AA907" s="68"/>
      <c r="AB907" s="68">
        <v>0</v>
      </c>
      <c r="AC907" s="69">
        <f t="shared" si="226"/>
        <v>0</v>
      </c>
      <c r="AD907" s="70">
        <v>0</v>
      </c>
      <c r="AE907" s="63"/>
      <c r="AF907" s="72"/>
      <c r="AG907" s="63"/>
      <c r="AH907" s="23"/>
      <c r="AI907" s="60"/>
      <c r="AJ907" s="124"/>
      <c r="AK907" s="121" t="s">
        <v>150</v>
      </c>
      <c r="AL907" s="107"/>
      <c r="AM907" s="108"/>
      <c r="AN907" s="109"/>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c r="BJ907" s="108"/>
      <c r="BK907" s="108"/>
      <c r="BL907" s="108"/>
      <c r="BM907" s="108"/>
      <c r="BN907" s="108"/>
      <c r="BO907" s="108"/>
      <c r="BP907" s="108"/>
      <c r="BQ907" s="108"/>
      <c r="BR907" s="108"/>
      <c r="BS907" s="108"/>
      <c r="BT907" s="108"/>
      <c r="BU907" s="108"/>
      <c r="BV907" s="108"/>
      <c r="BW907" s="108"/>
      <c r="BX907" s="108"/>
      <c r="BY907" s="108"/>
      <c r="BZ907" s="108"/>
      <c r="CA907" s="108"/>
      <c r="CB907" s="108"/>
      <c r="CC907" s="108"/>
      <c r="CD907" s="108"/>
      <c r="CE907" s="108"/>
      <c r="CF907" s="108"/>
      <c r="CG907" s="108"/>
      <c r="CH907" s="108"/>
      <c r="CI907" s="108"/>
      <c r="CJ907" s="108"/>
      <c r="CK907" s="108"/>
      <c r="CL907" s="108"/>
      <c r="CM907" s="108"/>
      <c r="CN907" s="110"/>
      <c r="CO907" s="111"/>
      <c r="CP907" s="110"/>
      <c r="CQ907" s="111"/>
      <c r="CR907" s="110"/>
      <c r="CS907" s="111"/>
      <c r="CT907" s="112">
        <f t="shared" si="227"/>
        <v>0</v>
      </c>
      <c r="CU907" s="113"/>
      <c r="CV907" s="114"/>
      <c r="CW907" s="115"/>
      <c r="CX907" s="116"/>
      <c r="CY907" s="117"/>
      <c r="CZ907" s="116"/>
      <c r="DA907" s="113"/>
      <c r="DB907" s="114"/>
      <c r="DC907" s="64"/>
      <c r="DD907" s="118"/>
    </row>
    <row r="908" spans="1:108" s="119" customFormat="1" ht="24" outlineLevel="2">
      <c r="A908" s="178">
        <v>40515</v>
      </c>
      <c r="B908" s="164" t="s">
        <v>1665</v>
      </c>
      <c r="C908" s="164" t="s">
        <v>1657</v>
      </c>
      <c r="D908" s="166" t="s">
        <v>1262</v>
      </c>
      <c r="E908" s="163"/>
      <c r="F908" s="105"/>
      <c r="G908" s="105"/>
      <c r="H908" s="105">
        <v>15</v>
      </c>
      <c r="I908" s="105">
        <v>3</v>
      </c>
      <c r="J908" s="105"/>
      <c r="K908" s="105">
        <v>3</v>
      </c>
      <c r="L908" s="105"/>
      <c r="M908" s="105"/>
      <c r="N908" s="105"/>
      <c r="O908" s="105"/>
      <c r="P908" s="105"/>
      <c r="Q908" s="105"/>
      <c r="R908" s="105"/>
      <c r="S908" s="105"/>
      <c r="T908" s="106"/>
      <c r="U908" s="130"/>
      <c r="V908" s="1"/>
      <c r="W908" s="68">
        <f t="shared" si="222"/>
        <v>0</v>
      </c>
      <c r="X908" s="68">
        <f t="shared" si="223"/>
        <v>0</v>
      </c>
      <c r="Y908" s="68">
        <f t="shared" si="224"/>
        <v>0</v>
      </c>
      <c r="Z908" s="68">
        <f t="shared" si="225"/>
        <v>0</v>
      </c>
      <c r="AA908" s="68"/>
      <c r="AB908" s="68">
        <v>0</v>
      </c>
      <c r="AC908" s="69">
        <f t="shared" si="226"/>
        <v>0</v>
      </c>
      <c r="AD908" s="70">
        <v>0</v>
      </c>
      <c r="AE908" s="63"/>
      <c r="AF908" s="72"/>
      <c r="AG908" s="63"/>
      <c r="AH908" s="23"/>
      <c r="AI908" s="60"/>
      <c r="AJ908" s="124"/>
      <c r="AK908" s="121" t="s">
        <v>149</v>
      </c>
      <c r="AL908" s="107"/>
      <c r="AM908" s="108"/>
      <c r="AN908" s="109"/>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c r="BJ908" s="108"/>
      <c r="BK908" s="108"/>
      <c r="BL908" s="108"/>
      <c r="BM908" s="108"/>
      <c r="BN908" s="108"/>
      <c r="BO908" s="108"/>
      <c r="BP908" s="108"/>
      <c r="BQ908" s="108"/>
      <c r="BR908" s="108"/>
      <c r="BS908" s="108"/>
      <c r="BT908" s="108"/>
      <c r="BU908" s="108"/>
      <c r="BV908" s="108"/>
      <c r="BW908" s="108"/>
      <c r="BX908" s="108"/>
      <c r="BY908" s="108"/>
      <c r="BZ908" s="108"/>
      <c r="CA908" s="108"/>
      <c r="CB908" s="108"/>
      <c r="CC908" s="108"/>
      <c r="CD908" s="108"/>
      <c r="CE908" s="108"/>
      <c r="CF908" s="108"/>
      <c r="CG908" s="108"/>
      <c r="CH908" s="108"/>
      <c r="CI908" s="108"/>
      <c r="CJ908" s="108"/>
      <c r="CK908" s="108"/>
      <c r="CL908" s="108"/>
      <c r="CM908" s="108"/>
      <c r="CN908" s="110"/>
      <c r="CO908" s="111"/>
      <c r="CP908" s="110"/>
      <c r="CQ908" s="111"/>
      <c r="CR908" s="110"/>
      <c r="CS908" s="111"/>
      <c r="CT908" s="112">
        <f t="shared" si="227"/>
        <v>0</v>
      </c>
      <c r="CU908" s="113"/>
      <c r="CV908" s="114"/>
      <c r="CW908" s="115"/>
      <c r="CX908" s="116"/>
      <c r="CY908" s="117"/>
      <c r="CZ908" s="116"/>
      <c r="DA908" s="113"/>
      <c r="DB908" s="114"/>
      <c r="DC908" s="64"/>
      <c r="DD908" s="118"/>
    </row>
    <row r="909" spans="1:108" s="119" customFormat="1" ht="16.5" outlineLevel="2">
      <c r="A909" s="178">
        <v>40516</v>
      </c>
      <c r="B909" s="164" t="s">
        <v>1665</v>
      </c>
      <c r="C909" s="164" t="s">
        <v>888</v>
      </c>
      <c r="D909" s="166" t="s">
        <v>1182</v>
      </c>
      <c r="E909" s="163"/>
      <c r="F909" s="105"/>
      <c r="G909" s="105"/>
      <c r="H909" s="105">
        <v>8</v>
      </c>
      <c r="I909" s="105">
        <v>1</v>
      </c>
      <c r="J909" s="105">
        <v>1</v>
      </c>
      <c r="K909" s="105"/>
      <c r="L909" s="105"/>
      <c r="M909" s="105"/>
      <c r="N909" s="105"/>
      <c r="O909" s="105">
        <v>1</v>
      </c>
      <c r="P909" s="105"/>
      <c r="Q909" s="105"/>
      <c r="R909" s="105"/>
      <c r="S909" s="105"/>
      <c r="T909" s="106"/>
      <c r="U909" s="130" t="s">
        <v>133</v>
      </c>
      <c r="V909" s="1"/>
      <c r="W909" s="68">
        <f t="shared" si="222"/>
        <v>0</v>
      </c>
      <c r="X909" s="68">
        <f t="shared" si="223"/>
        <v>0</v>
      </c>
      <c r="Y909" s="68">
        <f t="shared" si="224"/>
        <v>0</v>
      </c>
      <c r="Z909" s="68">
        <f t="shared" si="225"/>
        <v>0</v>
      </c>
      <c r="AA909" s="68"/>
      <c r="AB909" s="68">
        <v>0</v>
      </c>
      <c r="AC909" s="69">
        <f t="shared" si="226"/>
        <v>0</v>
      </c>
      <c r="AD909" s="70">
        <v>0</v>
      </c>
      <c r="AE909" s="63"/>
      <c r="AF909" s="72"/>
      <c r="AG909" s="63"/>
      <c r="AH909" s="23"/>
      <c r="AI909" s="60"/>
      <c r="AJ909" s="124"/>
      <c r="AK909" s="121" t="s">
        <v>132</v>
      </c>
      <c r="AL909" s="107"/>
      <c r="AM909" s="108"/>
      <c r="AN909" s="109"/>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c r="BJ909" s="108"/>
      <c r="BK909" s="108"/>
      <c r="BL909" s="108"/>
      <c r="BM909" s="108"/>
      <c r="BN909" s="108"/>
      <c r="BO909" s="108"/>
      <c r="BP909" s="108"/>
      <c r="BQ909" s="108"/>
      <c r="BR909" s="108"/>
      <c r="BS909" s="108"/>
      <c r="BT909" s="108"/>
      <c r="BU909" s="108"/>
      <c r="BV909" s="108"/>
      <c r="BW909" s="108"/>
      <c r="BX909" s="108"/>
      <c r="BY909" s="108"/>
      <c r="BZ909" s="108"/>
      <c r="CA909" s="108"/>
      <c r="CB909" s="108"/>
      <c r="CC909" s="108"/>
      <c r="CD909" s="108"/>
      <c r="CE909" s="108"/>
      <c r="CF909" s="108"/>
      <c r="CG909" s="108"/>
      <c r="CH909" s="108"/>
      <c r="CI909" s="108"/>
      <c r="CJ909" s="108"/>
      <c r="CK909" s="108"/>
      <c r="CL909" s="108"/>
      <c r="CM909" s="108"/>
      <c r="CN909" s="110"/>
      <c r="CO909" s="111"/>
      <c r="CP909" s="110"/>
      <c r="CQ909" s="111"/>
      <c r="CR909" s="110"/>
      <c r="CS909" s="111"/>
      <c r="CT909" s="112">
        <f t="shared" si="227"/>
        <v>0</v>
      </c>
      <c r="CU909" s="113"/>
      <c r="CV909" s="114"/>
      <c r="CW909" s="115"/>
      <c r="CX909" s="116"/>
      <c r="CY909" s="117"/>
      <c r="CZ909" s="116"/>
      <c r="DA909" s="113"/>
      <c r="DB909" s="114"/>
      <c r="DC909" s="64"/>
      <c r="DD909" s="118"/>
    </row>
    <row r="910" spans="1:108" s="119" customFormat="1" ht="84" outlineLevel="2">
      <c r="A910" s="178">
        <v>40517</v>
      </c>
      <c r="B910" s="164" t="s">
        <v>1665</v>
      </c>
      <c r="C910" s="164" t="s">
        <v>134</v>
      </c>
      <c r="D910" s="166" t="s">
        <v>1182</v>
      </c>
      <c r="E910" s="163"/>
      <c r="F910" s="105"/>
      <c r="G910" s="105"/>
      <c r="H910" s="105">
        <v>137</v>
      </c>
      <c r="I910" s="105">
        <v>26</v>
      </c>
      <c r="J910" s="105">
        <v>9</v>
      </c>
      <c r="K910" s="105">
        <v>19</v>
      </c>
      <c r="L910" s="105">
        <v>1</v>
      </c>
      <c r="M910" s="105"/>
      <c r="N910" s="105"/>
      <c r="O910" s="105"/>
      <c r="P910" s="105"/>
      <c r="Q910" s="105"/>
      <c r="R910" s="105"/>
      <c r="S910" s="105"/>
      <c r="T910" s="106"/>
      <c r="U910" s="130"/>
      <c r="V910" s="1"/>
      <c r="W910" s="68">
        <f t="shared" si="222"/>
        <v>0</v>
      </c>
      <c r="X910" s="68">
        <f t="shared" si="223"/>
        <v>0</v>
      </c>
      <c r="Y910" s="68">
        <f t="shared" si="224"/>
        <v>0</v>
      </c>
      <c r="Z910" s="68">
        <f t="shared" si="225"/>
        <v>0</v>
      </c>
      <c r="AA910" s="68"/>
      <c r="AB910" s="68">
        <v>0</v>
      </c>
      <c r="AC910" s="69">
        <f t="shared" si="226"/>
        <v>0</v>
      </c>
      <c r="AD910" s="70">
        <v>0</v>
      </c>
      <c r="AE910" s="63"/>
      <c r="AF910" s="72"/>
      <c r="AG910" s="63"/>
      <c r="AH910" s="23"/>
      <c r="AI910" s="60"/>
      <c r="AJ910" s="124"/>
      <c r="AK910" s="121" t="s">
        <v>136</v>
      </c>
      <c r="AL910" s="107"/>
      <c r="AM910" s="108"/>
      <c r="AN910" s="109"/>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c r="BJ910" s="108"/>
      <c r="BK910" s="108"/>
      <c r="BL910" s="108"/>
      <c r="BM910" s="108"/>
      <c r="BN910" s="108"/>
      <c r="BO910" s="108"/>
      <c r="BP910" s="108"/>
      <c r="BQ910" s="108"/>
      <c r="BR910" s="108"/>
      <c r="BS910" s="108"/>
      <c r="BT910" s="108"/>
      <c r="BU910" s="108"/>
      <c r="BV910" s="108"/>
      <c r="BW910" s="108"/>
      <c r="BX910" s="108"/>
      <c r="BY910" s="108"/>
      <c r="BZ910" s="108"/>
      <c r="CA910" s="108"/>
      <c r="CB910" s="108"/>
      <c r="CC910" s="108"/>
      <c r="CD910" s="108"/>
      <c r="CE910" s="108"/>
      <c r="CF910" s="108"/>
      <c r="CG910" s="108"/>
      <c r="CH910" s="108"/>
      <c r="CI910" s="108"/>
      <c r="CJ910" s="108"/>
      <c r="CK910" s="108"/>
      <c r="CL910" s="108"/>
      <c r="CM910" s="108"/>
      <c r="CN910" s="110"/>
      <c r="CO910" s="111"/>
      <c r="CP910" s="110"/>
      <c r="CQ910" s="111"/>
      <c r="CR910" s="110"/>
      <c r="CS910" s="111"/>
      <c r="CT910" s="112">
        <f t="shared" si="227"/>
        <v>0</v>
      </c>
      <c r="CU910" s="113"/>
      <c r="CV910" s="114"/>
      <c r="CW910" s="115"/>
      <c r="CX910" s="116"/>
      <c r="CY910" s="117"/>
      <c r="CZ910" s="116"/>
      <c r="DA910" s="113"/>
      <c r="DB910" s="114"/>
      <c r="DC910" s="64"/>
      <c r="DD910" s="118"/>
    </row>
    <row r="911" spans="1:108" s="119" customFormat="1" ht="24" outlineLevel="2">
      <c r="A911" s="178">
        <v>40517</v>
      </c>
      <c r="B911" s="164" t="s">
        <v>1665</v>
      </c>
      <c r="C911" s="164" t="s">
        <v>1294</v>
      </c>
      <c r="D911" s="166" t="s">
        <v>1262</v>
      </c>
      <c r="E911" s="163"/>
      <c r="F911" s="105"/>
      <c r="G911" s="105"/>
      <c r="H911" s="105">
        <v>15</v>
      </c>
      <c r="I911" s="105">
        <v>3</v>
      </c>
      <c r="J911" s="105"/>
      <c r="K911" s="105">
        <v>3</v>
      </c>
      <c r="L911" s="105"/>
      <c r="M911" s="105"/>
      <c r="N911" s="105"/>
      <c r="O911" s="105"/>
      <c r="P911" s="105"/>
      <c r="Q911" s="105"/>
      <c r="R911" s="105"/>
      <c r="S911" s="105"/>
      <c r="T911" s="106"/>
      <c r="U911" s="130"/>
      <c r="V911" s="1"/>
      <c r="W911" s="68">
        <f t="shared" si="222"/>
        <v>0</v>
      </c>
      <c r="X911" s="68">
        <f t="shared" si="223"/>
        <v>0</v>
      </c>
      <c r="Y911" s="68">
        <f t="shared" si="224"/>
        <v>0</v>
      </c>
      <c r="Z911" s="68">
        <f t="shared" si="225"/>
        <v>0</v>
      </c>
      <c r="AA911" s="68"/>
      <c r="AB911" s="68">
        <v>0</v>
      </c>
      <c r="AC911" s="69">
        <f t="shared" si="226"/>
        <v>0</v>
      </c>
      <c r="AD911" s="70">
        <v>0</v>
      </c>
      <c r="AE911" s="63"/>
      <c r="AF911" s="72"/>
      <c r="AG911" s="63"/>
      <c r="AH911" s="23"/>
      <c r="AI911" s="60"/>
      <c r="AJ911" s="124"/>
      <c r="AK911" s="121" t="s">
        <v>148</v>
      </c>
      <c r="AL911" s="107"/>
      <c r="AM911" s="108"/>
      <c r="AN911" s="109"/>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c r="BJ911" s="108"/>
      <c r="BK911" s="108"/>
      <c r="BL911" s="108"/>
      <c r="BM911" s="108"/>
      <c r="BN911" s="108"/>
      <c r="BO911" s="108"/>
      <c r="BP911" s="108"/>
      <c r="BQ911" s="108"/>
      <c r="BR911" s="108"/>
      <c r="BS911" s="108"/>
      <c r="BT911" s="108"/>
      <c r="BU911" s="108"/>
      <c r="BV911" s="108"/>
      <c r="BW911" s="108"/>
      <c r="BX911" s="108"/>
      <c r="BY911" s="108"/>
      <c r="BZ911" s="108"/>
      <c r="CA911" s="108"/>
      <c r="CB911" s="108"/>
      <c r="CC911" s="108"/>
      <c r="CD911" s="108"/>
      <c r="CE911" s="108"/>
      <c r="CF911" s="108"/>
      <c r="CG911" s="108"/>
      <c r="CH911" s="108"/>
      <c r="CI911" s="108"/>
      <c r="CJ911" s="108"/>
      <c r="CK911" s="108"/>
      <c r="CL911" s="108"/>
      <c r="CM911" s="108"/>
      <c r="CN911" s="110"/>
      <c r="CO911" s="111"/>
      <c r="CP911" s="110"/>
      <c r="CQ911" s="111"/>
      <c r="CR911" s="110"/>
      <c r="CS911" s="111"/>
      <c r="CT911" s="112">
        <f t="shared" si="227"/>
        <v>0</v>
      </c>
      <c r="CU911" s="113"/>
      <c r="CV911" s="114"/>
      <c r="CW911" s="115"/>
      <c r="CX911" s="116"/>
      <c r="CY911" s="117"/>
      <c r="CZ911" s="116"/>
      <c r="DA911" s="113"/>
      <c r="DB911" s="114"/>
      <c r="DC911" s="64"/>
      <c r="DD911" s="118"/>
    </row>
    <row r="912" spans="1:108" s="119" customFormat="1" outlineLevel="1">
      <c r="A912" s="178"/>
      <c r="B912" s="192" t="s">
        <v>2454</v>
      </c>
      <c r="C912" s="164"/>
      <c r="D912" s="166"/>
      <c r="E912" s="163">
        <f t="shared" ref="E912:T912" si="228">SUBTOTAL(9,E864:E911)</f>
        <v>3</v>
      </c>
      <c r="F912" s="105">
        <f t="shared" si="228"/>
        <v>5</v>
      </c>
      <c r="G912" s="105">
        <f t="shared" si="228"/>
        <v>0</v>
      </c>
      <c r="H912" s="105">
        <f t="shared" si="228"/>
        <v>1707</v>
      </c>
      <c r="I912" s="105">
        <f t="shared" si="228"/>
        <v>345</v>
      </c>
      <c r="J912" s="105">
        <f t="shared" si="228"/>
        <v>20</v>
      </c>
      <c r="K912" s="105">
        <f t="shared" si="228"/>
        <v>269</v>
      </c>
      <c r="L912" s="105">
        <f t="shared" si="228"/>
        <v>6</v>
      </c>
      <c r="M912" s="105">
        <f t="shared" si="228"/>
        <v>1</v>
      </c>
      <c r="N912" s="105">
        <f t="shared" si="228"/>
        <v>4</v>
      </c>
      <c r="O912" s="105">
        <f t="shared" si="228"/>
        <v>5</v>
      </c>
      <c r="P912" s="105">
        <f t="shared" si="228"/>
        <v>0</v>
      </c>
      <c r="Q912" s="105">
        <f t="shared" si="228"/>
        <v>0</v>
      </c>
      <c r="R912" s="105">
        <f t="shared" si="228"/>
        <v>8</v>
      </c>
      <c r="S912" s="105">
        <f t="shared" si="228"/>
        <v>0</v>
      </c>
      <c r="T912" s="106">
        <f t="shared" si="228"/>
        <v>4.5</v>
      </c>
      <c r="U912" s="130"/>
      <c r="V912" s="1"/>
      <c r="W912" s="68">
        <f t="shared" ref="W912:AD912" si="229">SUBTOTAL(9,W864:W911)</f>
        <v>0</v>
      </c>
      <c r="X912" s="68">
        <f t="shared" si="229"/>
        <v>0</v>
      </c>
      <c r="Y912" s="68">
        <f t="shared" si="229"/>
        <v>0</v>
      </c>
      <c r="Z912" s="68">
        <f t="shared" si="229"/>
        <v>0</v>
      </c>
      <c r="AA912" s="68">
        <f t="shared" si="229"/>
        <v>0</v>
      </c>
      <c r="AB912" s="68">
        <f t="shared" si="229"/>
        <v>0</v>
      </c>
      <c r="AC912" s="69">
        <f t="shared" si="229"/>
        <v>0</v>
      </c>
      <c r="AD912" s="70">
        <f t="shared" si="229"/>
        <v>0</v>
      </c>
      <c r="AE912" s="63"/>
      <c r="AF912" s="72"/>
      <c r="AG912" s="63"/>
      <c r="AH912" s="23"/>
      <c r="AI912" s="60"/>
      <c r="AJ912" s="124"/>
      <c r="AK912" s="121"/>
      <c r="AL912" s="107"/>
      <c r="AM912" s="108"/>
      <c r="AN912" s="109"/>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c r="BJ912" s="108"/>
      <c r="BK912" s="108"/>
      <c r="BL912" s="108"/>
      <c r="BM912" s="108"/>
      <c r="BN912" s="108"/>
      <c r="BO912" s="108"/>
      <c r="BP912" s="108"/>
      <c r="BQ912" s="108"/>
      <c r="BR912" s="108"/>
      <c r="BS912" s="108"/>
      <c r="BT912" s="108"/>
      <c r="BU912" s="108"/>
      <c r="BV912" s="108"/>
      <c r="BW912" s="108"/>
      <c r="BX912" s="108"/>
      <c r="BY912" s="108"/>
      <c r="BZ912" s="108"/>
      <c r="CA912" s="108"/>
      <c r="CB912" s="108"/>
      <c r="CC912" s="108"/>
      <c r="CD912" s="108"/>
      <c r="CE912" s="108"/>
      <c r="CF912" s="108"/>
      <c r="CG912" s="108"/>
      <c r="CH912" s="108"/>
      <c r="CI912" s="108"/>
      <c r="CJ912" s="108"/>
      <c r="CK912" s="108"/>
      <c r="CL912" s="108"/>
      <c r="CM912" s="108"/>
      <c r="CN912" s="110"/>
      <c r="CO912" s="111"/>
      <c r="CP912" s="110"/>
      <c r="CQ912" s="111"/>
      <c r="CR912" s="110"/>
      <c r="CS912" s="111"/>
      <c r="CT912" s="112"/>
      <c r="CU912" s="113"/>
      <c r="CV912" s="114"/>
      <c r="CW912" s="115"/>
      <c r="CX912" s="116"/>
      <c r="CY912" s="117"/>
      <c r="CZ912" s="116"/>
      <c r="DA912" s="113"/>
      <c r="DB912" s="114"/>
      <c r="DC912" s="64"/>
      <c r="DD912" s="118"/>
    </row>
    <row r="913" spans="1:108" s="119" customFormat="1" ht="45" outlineLevel="2">
      <c r="A913" s="178">
        <v>40323</v>
      </c>
      <c r="B913" s="82" t="s">
        <v>1477</v>
      </c>
      <c r="C913" s="82" t="s">
        <v>953</v>
      </c>
      <c r="D913" s="165" t="s">
        <v>1262</v>
      </c>
      <c r="E913" s="167"/>
      <c r="F913" s="66"/>
      <c r="G913" s="66"/>
      <c r="H913" s="66"/>
      <c r="I913" s="66"/>
      <c r="J913" s="66"/>
      <c r="K913" s="66"/>
      <c r="L913" s="66"/>
      <c r="M913" s="66"/>
      <c r="N913" s="66"/>
      <c r="O913" s="66"/>
      <c r="P913" s="66"/>
      <c r="Q913" s="66"/>
      <c r="R913" s="66"/>
      <c r="S913" s="66"/>
      <c r="T913" s="67"/>
      <c r="U913" s="151"/>
      <c r="V913" s="1">
        <v>40375</v>
      </c>
      <c r="W913" s="68">
        <f t="shared" ref="W913:W944" si="230">CT913</f>
        <v>78550000</v>
      </c>
      <c r="X913" s="68">
        <f t="shared" ref="X913:X944" si="231">CX913</f>
        <v>85000000</v>
      </c>
      <c r="Y913" s="68">
        <f t="shared" ref="Y913:Y944" si="232">CZ913+DB913</f>
        <v>0</v>
      </c>
      <c r="Z913" s="68">
        <f t="shared" ref="Z913:Z944" si="233">CV913</f>
        <v>63336000</v>
      </c>
      <c r="AA913" s="68">
        <v>0</v>
      </c>
      <c r="AB913" s="68">
        <v>0</v>
      </c>
      <c r="AC913" s="69">
        <f t="shared" ref="AC913:AC944" si="234">W913+X913+Y913+Z913+AA913+AB913</f>
        <v>226886000</v>
      </c>
      <c r="AD913" s="70">
        <v>0</v>
      </c>
      <c r="AE913" s="63">
        <v>40324</v>
      </c>
      <c r="AF913" s="72">
        <v>97863</v>
      </c>
      <c r="AG913" s="63" t="s">
        <v>954</v>
      </c>
      <c r="AH913" s="23" t="s">
        <v>955</v>
      </c>
      <c r="AI913" s="75" t="s">
        <v>547</v>
      </c>
      <c r="AJ913" s="133" t="s">
        <v>415</v>
      </c>
      <c r="AK913" s="73"/>
      <c r="AL913" s="3"/>
      <c r="AM913" s="4"/>
      <c r="AN913" s="5"/>
      <c r="AO913" s="4"/>
      <c r="AP913" s="4"/>
      <c r="AQ913" s="4"/>
      <c r="AR913" s="4"/>
      <c r="AS913" s="4"/>
      <c r="AT913" s="4"/>
      <c r="AU913" s="4"/>
      <c r="AV913" s="4"/>
      <c r="AW913" s="4"/>
      <c r="AX913" s="4"/>
      <c r="AY913" s="4"/>
      <c r="AZ913" s="4"/>
      <c r="BA913" s="4"/>
      <c r="BB913" s="4"/>
      <c r="BC913" s="4"/>
      <c r="BD913" s="4"/>
      <c r="BE913" s="4"/>
      <c r="BF913" s="4"/>
      <c r="BG913" s="4"/>
      <c r="BH913" s="4"/>
      <c r="BI913" s="4"/>
      <c r="BJ913" s="4">
        <v>500</v>
      </c>
      <c r="BK913" s="4">
        <f>500*25500</f>
        <v>12750000</v>
      </c>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6">
        <v>1000</v>
      </c>
      <c r="CO913" s="7">
        <f>1000*37000</f>
        <v>37000000</v>
      </c>
      <c r="CP913" s="6">
        <v>800</v>
      </c>
      <c r="CQ913" s="7">
        <f>800*36000</f>
        <v>28800000</v>
      </c>
      <c r="CR913" s="6"/>
      <c r="CS913" s="7"/>
      <c r="CT913" s="8">
        <f t="shared" ref="CT913:CT944" si="235">AM913+AO913+AQ913+AS913+AU913+AW913+AY913+BA913+BC913+BE913+BG913+BI913+BK913+BM913+BO913+BQ913+BS913+BU913+BW913+BY913+CA913+CC913+CE913+CG913+CI913+CK913+CM913+CO913+CQ913+CS913</f>
        <v>78550000</v>
      </c>
      <c r="CU913" s="9">
        <v>70000</v>
      </c>
      <c r="CV913" s="10">
        <f>70000*904.8</f>
        <v>63336000</v>
      </c>
      <c r="CW913" s="11">
        <v>1000</v>
      </c>
      <c r="CX913" s="12">
        <f>1000*85000</f>
        <v>85000000</v>
      </c>
      <c r="CY913" s="26"/>
      <c r="CZ913" s="12"/>
      <c r="DA913" s="9"/>
      <c r="DB913" s="10"/>
      <c r="DC913" s="64"/>
      <c r="DD913" s="22">
        <v>1125</v>
      </c>
    </row>
    <row r="914" spans="1:108" s="119" customFormat="1" ht="45" outlineLevel="2">
      <c r="A914" s="178">
        <v>40333</v>
      </c>
      <c r="B914" s="82" t="s">
        <v>1477</v>
      </c>
      <c r="C914" s="82" t="s">
        <v>1675</v>
      </c>
      <c r="D914" s="165" t="s">
        <v>1262</v>
      </c>
      <c r="E914" s="167"/>
      <c r="F914" s="66"/>
      <c r="G914" s="66"/>
      <c r="H914" s="66">
        <v>860</v>
      </c>
      <c r="I914" s="66">
        <v>172</v>
      </c>
      <c r="J914" s="66"/>
      <c r="K914" s="66">
        <v>172</v>
      </c>
      <c r="L914" s="66"/>
      <c r="M914" s="66"/>
      <c r="N914" s="66"/>
      <c r="O914" s="66"/>
      <c r="P914" s="66"/>
      <c r="Q914" s="66"/>
      <c r="R914" s="66"/>
      <c r="S914" s="66"/>
      <c r="T914" s="67"/>
      <c r="U914" s="151"/>
      <c r="V914" s="1">
        <v>40344</v>
      </c>
      <c r="W914" s="68">
        <f t="shared" si="230"/>
        <v>7199888</v>
      </c>
      <c r="X914" s="68">
        <f t="shared" si="231"/>
        <v>0</v>
      </c>
      <c r="Y914" s="68">
        <f t="shared" si="232"/>
        <v>34516800</v>
      </c>
      <c r="Z914" s="68">
        <f t="shared" si="233"/>
        <v>9001600</v>
      </c>
      <c r="AA914" s="68"/>
      <c r="AB914" s="68">
        <v>0</v>
      </c>
      <c r="AC914" s="69">
        <f t="shared" si="234"/>
        <v>50718288</v>
      </c>
      <c r="AD914" s="70">
        <v>0</v>
      </c>
      <c r="AE914" s="63">
        <v>40338</v>
      </c>
      <c r="AF914" s="72">
        <v>98186</v>
      </c>
      <c r="AG914" s="63" t="s">
        <v>954</v>
      </c>
      <c r="AH914" s="23" t="s">
        <v>955</v>
      </c>
      <c r="AI914" s="75" t="s">
        <v>1990</v>
      </c>
      <c r="AJ914" s="133" t="s">
        <v>415</v>
      </c>
      <c r="AK914" s="73" t="s">
        <v>1513</v>
      </c>
      <c r="AL914" s="3"/>
      <c r="AM914" s="4"/>
      <c r="AN914" s="5"/>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v>400</v>
      </c>
      <c r="CM914" s="4">
        <f>400*17999.72</f>
        <v>7199888</v>
      </c>
      <c r="CN914" s="6"/>
      <c r="CO914" s="7"/>
      <c r="CP914" s="6"/>
      <c r="CQ914" s="7"/>
      <c r="CR914" s="6"/>
      <c r="CS914" s="7"/>
      <c r="CT914" s="8">
        <f t="shared" si="235"/>
        <v>7199888</v>
      </c>
      <c r="CU914" s="9">
        <v>10000</v>
      </c>
      <c r="CV914" s="10">
        <f>10000*900.16</f>
        <v>9001600</v>
      </c>
      <c r="CW914" s="11"/>
      <c r="CX914" s="12"/>
      <c r="CY914" s="26"/>
      <c r="CZ914" s="12"/>
      <c r="DA914" s="9">
        <v>1800</v>
      </c>
      <c r="DB914" s="10">
        <f>1800*18560+7200*154</f>
        <v>34516800</v>
      </c>
      <c r="DC914" s="64"/>
      <c r="DD914" s="22"/>
    </row>
    <row r="915" spans="1:108" s="119" customFormat="1" ht="60" outlineLevel="2">
      <c r="A915" s="178">
        <v>40349</v>
      </c>
      <c r="B915" s="82" t="s">
        <v>1477</v>
      </c>
      <c r="C915" s="82" t="s">
        <v>1437</v>
      </c>
      <c r="D915" s="165" t="s">
        <v>1262</v>
      </c>
      <c r="E915" s="167"/>
      <c r="F915" s="66"/>
      <c r="G915" s="66"/>
      <c r="H915" s="66">
        <v>37240</v>
      </c>
      <c r="I915" s="66">
        <v>7448</v>
      </c>
      <c r="J915" s="66"/>
      <c r="K915" s="66">
        <v>7448</v>
      </c>
      <c r="L915" s="66"/>
      <c r="M915" s="66"/>
      <c r="N915" s="66"/>
      <c r="O915" s="66"/>
      <c r="P915" s="66"/>
      <c r="Q915" s="66"/>
      <c r="R915" s="66"/>
      <c r="S915" s="66"/>
      <c r="T915" s="67"/>
      <c r="U915" s="151"/>
      <c r="V915" s="1"/>
      <c r="W915" s="68">
        <f t="shared" si="230"/>
        <v>0</v>
      </c>
      <c r="X915" s="68">
        <f t="shared" si="231"/>
        <v>0</v>
      </c>
      <c r="Y915" s="68">
        <f t="shared" si="232"/>
        <v>0</v>
      </c>
      <c r="Z915" s="68">
        <f t="shared" si="233"/>
        <v>0</v>
      </c>
      <c r="AA915" s="68"/>
      <c r="AB915" s="68">
        <v>0</v>
      </c>
      <c r="AC915" s="69">
        <f t="shared" si="234"/>
        <v>0</v>
      </c>
      <c r="AD915" s="70">
        <v>0</v>
      </c>
      <c r="AE915" s="63">
        <v>40350</v>
      </c>
      <c r="AF915" s="72">
        <v>39941</v>
      </c>
      <c r="AG915" s="63" t="s">
        <v>954</v>
      </c>
      <c r="AH915" s="23" t="s">
        <v>955</v>
      </c>
      <c r="AI915" s="60"/>
      <c r="AJ915" s="157" t="s">
        <v>1543</v>
      </c>
      <c r="AK915" s="73" t="s">
        <v>1914</v>
      </c>
      <c r="AL915" s="3"/>
      <c r="AM915" s="4"/>
      <c r="AN915" s="5"/>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6"/>
      <c r="CO915" s="7"/>
      <c r="CP915" s="6"/>
      <c r="CQ915" s="7"/>
      <c r="CR915" s="6"/>
      <c r="CS915" s="7"/>
      <c r="CT915" s="8">
        <f t="shared" si="235"/>
        <v>0</v>
      </c>
      <c r="CU915" s="9"/>
      <c r="CV915" s="10"/>
      <c r="CW915" s="11"/>
      <c r="CX915" s="12"/>
      <c r="CY915" s="26"/>
      <c r="CZ915" s="12"/>
      <c r="DA915" s="9"/>
      <c r="DB915" s="10"/>
      <c r="DC915" s="64"/>
      <c r="DD915" s="22"/>
    </row>
    <row r="916" spans="1:108" s="119" customFormat="1" ht="24" outlineLevel="2">
      <c r="A916" s="178">
        <v>40368</v>
      </c>
      <c r="B916" s="82" t="s">
        <v>1477</v>
      </c>
      <c r="C916" s="82" t="s">
        <v>1457</v>
      </c>
      <c r="D916" s="165" t="s">
        <v>1182</v>
      </c>
      <c r="E916" s="167"/>
      <c r="F916" s="66"/>
      <c r="G916" s="66"/>
      <c r="H916" s="66">
        <v>25</v>
      </c>
      <c r="I916" s="66">
        <v>5</v>
      </c>
      <c r="J916" s="66"/>
      <c r="K916" s="66">
        <v>4</v>
      </c>
      <c r="L916" s="66"/>
      <c r="M916" s="66"/>
      <c r="N916" s="66"/>
      <c r="O916" s="66"/>
      <c r="P916" s="66"/>
      <c r="Q916" s="66"/>
      <c r="R916" s="66"/>
      <c r="S916" s="66"/>
      <c r="T916" s="67"/>
      <c r="U916" s="151"/>
      <c r="V916" s="1"/>
      <c r="W916" s="68">
        <f t="shared" si="230"/>
        <v>0</v>
      </c>
      <c r="X916" s="68">
        <f t="shared" si="231"/>
        <v>0</v>
      </c>
      <c r="Y916" s="68">
        <f t="shared" si="232"/>
        <v>0</v>
      </c>
      <c r="Z916" s="68">
        <f t="shared" si="233"/>
        <v>0</v>
      </c>
      <c r="AA916" s="68"/>
      <c r="AB916" s="68">
        <v>0</v>
      </c>
      <c r="AC916" s="69">
        <f t="shared" si="234"/>
        <v>0</v>
      </c>
      <c r="AD916" s="70">
        <v>0</v>
      </c>
      <c r="AE916" s="63">
        <v>40371</v>
      </c>
      <c r="AF916" s="72"/>
      <c r="AG916" s="63" t="s">
        <v>938</v>
      </c>
      <c r="AH916" s="23" t="s">
        <v>939</v>
      </c>
      <c r="AI916" s="60"/>
      <c r="AJ916" s="133" t="s">
        <v>1608</v>
      </c>
      <c r="AK916" s="73" t="s">
        <v>1458</v>
      </c>
      <c r="AL916" s="3"/>
      <c r="AM916" s="4"/>
      <c r="AN916" s="5"/>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6"/>
      <c r="CO916" s="7"/>
      <c r="CP916" s="6"/>
      <c r="CQ916" s="7"/>
      <c r="CR916" s="6"/>
      <c r="CS916" s="7"/>
      <c r="CT916" s="8">
        <f t="shared" si="235"/>
        <v>0</v>
      </c>
      <c r="CU916" s="9"/>
      <c r="CV916" s="10"/>
      <c r="CW916" s="11"/>
      <c r="CX916" s="12"/>
      <c r="CY916" s="26"/>
      <c r="CZ916" s="12"/>
      <c r="DA916" s="9"/>
      <c r="DB916" s="10"/>
      <c r="DC916" s="64"/>
      <c r="DD916" s="22"/>
    </row>
    <row r="917" spans="1:108" s="119" customFormat="1" ht="108" outlineLevel="2">
      <c r="A917" s="178">
        <v>40368</v>
      </c>
      <c r="B917" s="82" t="s">
        <v>1477</v>
      </c>
      <c r="C917" s="82" t="s">
        <v>1457</v>
      </c>
      <c r="D917" s="165" t="s">
        <v>1262</v>
      </c>
      <c r="E917" s="167"/>
      <c r="F917" s="66"/>
      <c r="G917" s="66"/>
      <c r="H917" s="66">
        <v>11000</v>
      </c>
      <c r="I917" s="66">
        <v>2200</v>
      </c>
      <c r="J917" s="66">
        <v>15</v>
      </c>
      <c r="K917" s="66">
        <v>2185</v>
      </c>
      <c r="L917" s="66"/>
      <c r="M917" s="66"/>
      <c r="N917" s="66"/>
      <c r="O917" s="66"/>
      <c r="P917" s="66"/>
      <c r="Q917" s="66"/>
      <c r="R917" s="66"/>
      <c r="S917" s="66"/>
      <c r="T917" s="67"/>
      <c r="U917" s="151"/>
      <c r="V917" s="1">
        <v>40392</v>
      </c>
      <c r="W917" s="68">
        <f t="shared" si="230"/>
        <v>101000000</v>
      </c>
      <c r="X917" s="68">
        <f t="shared" si="231"/>
        <v>84900000</v>
      </c>
      <c r="Y917" s="68">
        <f t="shared" si="232"/>
        <v>0</v>
      </c>
      <c r="Z917" s="68">
        <f t="shared" si="233"/>
        <v>9001600</v>
      </c>
      <c r="AA917" s="68"/>
      <c r="AB917" s="68">
        <v>0</v>
      </c>
      <c r="AC917" s="69">
        <f t="shared" si="234"/>
        <v>194901600</v>
      </c>
      <c r="AD917" s="70">
        <v>0</v>
      </c>
      <c r="AE917" s="63">
        <v>40388</v>
      </c>
      <c r="AF917" s="72">
        <v>37438</v>
      </c>
      <c r="AG917" s="63" t="s">
        <v>954</v>
      </c>
      <c r="AH917" s="23" t="s">
        <v>955</v>
      </c>
      <c r="AI917" s="75" t="s">
        <v>2036</v>
      </c>
      <c r="AJ917" s="133" t="s">
        <v>1476</v>
      </c>
      <c r="AK917" s="73" t="s">
        <v>1068</v>
      </c>
      <c r="AL917" s="3"/>
      <c r="AM917" s="4"/>
      <c r="AN917" s="5"/>
      <c r="AO917" s="4"/>
      <c r="AP917" s="4"/>
      <c r="AQ917" s="4"/>
      <c r="AR917" s="4"/>
      <c r="AS917" s="4"/>
      <c r="AT917" s="4"/>
      <c r="AU917" s="4"/>
      <c r="AV917" s="4"/>
      <c r="AW917" s="4"/>
      <c r="AX917" s="4">
        <v>500</v>
      </c>
      <c r="AY917" s="4">
        <f>500*56000</f>
        <v>28000000</v>
      </c>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6">
        <v>1000</v>
      </c>
      <c r="CO917" s="7">
        <f>1000*37000</f>
        <v>37000000</v>
      </c>
      <c r="CP917" s="6">
        <v>1000</v>
      </c>
      <c r="CQ917" s="7">
        <f>1000*36000</f>
        <v>36000000</v>
      </c>
      <c r="CR917" s="6"/>
      <c r="CS917" s="7"/>
      <c r="CT917" s="8">
        <f t="shared" si="235"/>
        <v>101000000</v>
      </c>
      <c r="CU917" s="9">
        <v>10000</v>
      </c>
      <c r="CV917" s="10">
        <f>10000*900.16</f>
        <v>9001600</v>
      </c>
      <c r="CW917" s="11">
        <v>1000</v>
      </c>
      <c r="CX917" s="12">
        <f>1000*84900</f>
        <v>84900000</v>
      </c>
      <c r="CY917" s="26"/>
      <c r="CZ917" s="12"/>
      <c r="DA917" s="9"/>
      <c r="DB917" s="10"/>
      <c r="DC917" s="64"/>
      <c r="DD917" s="22"/>
    </row>
    <row r="918" spans="1:108" s="119" customFormat="1" ht="48" outlineLevel="2">
      <c r="A918" s="178">
        <v>40391</v>
      </c>
      <c r="B918" s="82" t="s">
        <v>1477</v>
      </c>
      <c r="C918" s="82" t="s">
        <v>1438</v>
      </c>
      <c r="D918" s="165" t="s">
        <v>1262</v>
      </c>
      <c r="E918" s="167"/>
      <c r="F918" s="66"/>
      <c r="G918" s="66"/>
      <c r="H918" s="66">
        <v>1099</v>
      </c>
      <c r="I918" s="66">
        <v>250</v>
      </c>
      <c r="J918" s="66"/>
      <c r="K918" s="66">
        <v>250</v>
      </c>
      <c r="L918" s="66"/>
      <c r="M918" s="66"/>
      <c r="N918" s="66"/>
      <c r="O918" s="66"/>
      <c r="P918" s="66"/>
      <c r="Q918" s="66"/>
      <c r="R918" s="66"/>
      <c r="S918" s="66"/>
      <c r="T918" s="67"/>
      <c r="U918" s="151"/>
      <c r="V918" s="1"/>
      <c r="W918" s="68">
        <f t="shared" si="230"/>
        <v>5131200</v>
      </c>
      <c r="X918" s="68">
        <f t="shared" si="231"/>
        <v>17000000</v>
      </c>
      <c r="Y918" s="68">
        <f t="shared" si="232"/>
        <v>0</v>
      </c>
      <c r="Z918" s="68">
        <f t="shared" si="233"/>
        <v>4500800</v>
      </c>
      <c r="AA918" s="68"/>
      <c r="AB918" s="68">
        <v>0</v>
      </c>
      <c r="AC918" s="69">
        <f t="shared" si="234"/>
        <v>26632000</v>
      </c>
      <c r="AD918" s="70">
        <v>104350000</v>
      </c>
      <c r="AE918" s="63">
        <v>40350</v>
      </c>
      <c r="AF918" s="72">
        <v>52364</v>
      </c>
      <c r="AG918" s="63" t="s">
        <v>954</v>
      </c>
      <c r="AH918" s="23" t="s">
        <v>955</v>
      </c>
      <c r="AI918" s="60"/>
      <c r="AJ918" s="133" t="s">
        <v>415</v>
      </c>
      <c r="AK918" s="121" t="s">
        <v>130</v>
      </c>
      <c r="AL918" s="3"/>
      <c r="AM918" s="4"/>
      <c r="AN918" s="5"/>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v>3</v>
      </c>
      <c r="BY918" s="4">
        <f>3*510400</f>
        <v>1531200</v>
      </c>
      <c r="BZ918" s="4"/>
      <c r="CA918" s="4"/>
      <c r="CB918" s="4"/>
      <c r="CC918" s="4"/>
      <c r="CD918" s="4"/>
      <c r="CE918" s="4"/>
      <c r="CF918" s="4"/>
      <c r="CG918" s="4"/>
      <c r="CH918" s="4"/>
      <c r="CI918" s="4"/>
      <c r="CJ918" s="4"/>
      <c r="CK918" s="4"/>
      <c r="CL918" s="4">
        <v>200</v>
      </c>
      <c r="CM918" s="4">
        <f>200*18000</f>
        <v>3600000</v>
      </c>
      <c r="CN918" s="6"/>
      <c r="CO918" s="7"/>
      <c r="CP918" s="6"/>
      <c r="CQ918" s="7"/>
      <c r="CR918" s="6"/>
      <c r="CS918" s="7"/>
      <c r="CT918" s="8">
        <f t="shared" si="235"/>
        <v>5131200</v>
      </c>
      <c r="CU918" s="9">
        <v>5000</v>
      </c>
      <c r="CV918" s="10">
        <f>5000*900.16</f>
        <v>4500800</v>
      </c>
      <c r="CW918" s="11">
        <v>200</v>
      </c>
      <c r="CX918" s="12">
        <f>200*85000</f>
        <v>17000000</v>
      </c>
      <c r="CY918" s="26"/>
      <c r="CZ918" s="12"/>
      <c r="DA918" s="9"/>
      <c r="DB918" s="10"/>
      <c r="DC918" s="64"/>
      <c r="DD918" s="22"/>
    </row>
    <row r="919" spans="1:108" s="119" customFormat="1" ht="72" outlineLevel="2">
      <c r="A919" s="178">
        <v>40391</v>
      </c>
      <c r="B919" s="82" t="s">
        <v>1477</v>
      </c>
      <c r="C919" s="82" t="s">
        <v>2030</v>
      </c>
      <c r="D919" s="165" t="s">
        <v>1262</v>
      </c>
      <c r="E919" s="167"/>
      <c r="F919" s="66"/>
      <c r="G919" s="66"/>
      <c r="H919" s="66">
        <v>6255</v>
      </c>
      <c r="I919" s="66">
        <v>1251</v>
      </c>
      <c r="J919" s="66"/>
      <c r="K919" s="66">
        <v>1251</v>
      </c>
      <c r="L919" s="66"/>
      <c r="M919" s="66"/>
      <c r="N919" s="66"/>
      <c r="O919" s="66"/>
      <c r="P919" s="66"/>
      <c r="Q919" s="66"/>
      <c r="R919" s="66"/>
      <c r="S919" s="66"/>
      <c r="T919" s="67"/>
      <c r="U919" s="151"/>
      <c r="V919" s="1">
        <v>40422</v>
      </c>
      <c r="W919" s="68">
        <f t="shared" si="230"/>
        <v>25952000</v>
      </c>
      <c r="X919" s="68">
        <f t="shared" si="231"/>
        <v>110500000</v>
      </c>
      <c r="Y919" s="68">
        <f t="shared" si="232"/>
        <v>0</v>
      </c>
      <c r="Z919" s="68">
        <f t="shared" si="233"/>
        <v>4500800</v>
      </c>
      <c r="AA919" s="68"/>
      <c r="AB919" s="68">
        <v>29999022.859999999</v>
      </c>
      <c r="AC919" s="69">
        <f t="shared" si="234"/>
        <v>170951822.86000001</v>
      </c>
      <c r="AD919" s="70">
        <v>129850000</v>
      </c>
      <c r="AE919" s="63">
        <v>40396</v>
      </c>
      <c r="AF919" s="72">
        <v>39941</v>
      </c>
      <c r="AG919" s="63" t="s">
        <v>954</v>
      </c>
      <c r="AH919" s="23" t="s">
        <v>955</v>
      </c>
      <c r="AI919" s="60">
        <v>402</v>
      </c>
      <c r="AJ919" s="158" t="s">
        <v>1543</v>
      </c>
      <c r="AK919" s="73" t="s">
        <v>2271</v>
      </c>
      <c r="AL919" s="3"/>
      <c r="AM919" s="4"/>
      <c r="AN919" s="5"/>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v>5</v>
      </c>
      <c r="BY919" s="4">
        <f>5*510400</f>
        <v>2552000</v>
      </c>
      <c r="BZ919" s="4"/>
      <c r="CA919" s="4"/>
      <c r="CB919" s="4"/>
      <c r="CC919" s="4"/>
      <c r="CD919" s="4"/>
      <c r="CE919" s="4"/>
      <c r="CF919" s="4"/>
      <c r="CG919" s="4"/>
      <c r="CH919" s="4"/>
      <c r="CI919" s="4"/>
      <c r="CJ919" s="4"/>
      <c r="CK919" s="4"/>
      <c r="CL919" s="4">
        <v>1300</v>
      </c>
      <c r="CM919" s="4">
        <f>1300*18000</f>
        <v>23400000</v>
      </c>
      <c r="CN919" s="6"/>
      <c r="CO919" s="7"/>
      <c r="CP919" s="6"/>
      <c r="CQ919" s="7"/>
      <c r="CR919" s="6"/>
      <c r="CS919" s="7"/>
      <c r="CT919" s="8">
        <f t="shared" si="235"/>
        <v>25952000</v>
      </c>
      <c r="CU919" s="9">
        <v>5000</v>
      </c>
      <c r="CV919" s="10">
        <f>5000*900.16</f>
        <v>4500800</v>
      </c>
      <c r="CW919" s="11">
        <v>1300</v>
      </c>
      <c r="CX919" s="12">
        <f>1300*85000</f>
        <v>110500000</v>
      </c>
      <c r="CY919" s="26"/>
      <c r="CZ919" s="12"/>
      <c r="DA919" s="9"/>
      <c r="DB919" s="10"/>
      <c r="DC919" s="64">
        <v>4</v>
      </c>
      <c r="DD919" s="22"/>
    </row>
    <row r="920" spans="1:108" s="119" customFormat="1" ht="24" outlineLevel="2">
      <c r="A920" s="178">
        <v>40391</v>
      </c>
      <c r="B920" s="82" t="s">
        <v>1477</v>
      </c>
      <c r="C920" s="82" t="s">
        <v>2038</v>
      </c>
      <c r="D920" s="165" t="s">
        <v>1262</v>
      </c>
      <c r="E920" s="167"/>
      <c r="F920" s="66"/>
      <c r="G920" s="66"/>
      <c r="H920" s="66">
        <v>3590</v>
      </c>
      <c r="I920" s="66">
        <v>718</v>
      </c>
      <c r="J920" s="66"/>
      <c r="K920" s="66">
        <v>718</v>
      </c>
      <c r="L920" s="66"/>
      <c r="M920" s="66"/>
      <c r="N920" s="66"/>
      <c r="O920" s="66"/>
      <c r="P920" s="66"/>
      <c r="Q920" s="66"/>
      <c r="R920" s="66"/>
      <c r="S920" s="66"/>
      <c r="T920" s="67"/>
      <c r="U920" s="151"/>
      <c r="V920" s="1"/>
      <c r="W920" s="68">
        <f t="shared" si="230"/>
        <v>9660800</v>
      </c>
      <c r="X920" s="68">
        <f t="shared" si="231"/>
        <v>40800000</v>
      </c>
      <c r="Y920" s="68">
        <f t="shared" si="232"/>
        <v>0</v>
      </c>
      <c r="Z920" s="68">
        <f t="shared" si="233"/>
        <v>11702080</v>
      </c>
      <c r="AA920" s="68"/>
      <c r="AB920" s="68">
        <v>0</v>
      </c>
      <c r="AC920" s="69">
        <f t="shared" si="234"/>
        <v>62162880</v>
      </c>
      <c r="AD920" s="70">
        <v>87350000</v>
      </c>
      <c r="AE920" s="63">
        <v>40399</v>
      </c>
      <c r="AF920" s="72">
        <v>39691</v>
      </c>
      <c r="AG920" s="63" t="s">
        <v>954</v>
      </c>
      <c r="AH920" s="23" t="s">
        <v>955</v>
      </c>
      <c r="AI920" s="60">
        <v>22723</v>
      </c>
      <c r="AJ920" s="133" t="s">
        <v>1534</v>
      </c>
      <c r="AK920" s="73" t="s">
        <v>2020</v>
      </c>
      <c r="AL920" s="3"/>
      <c r="AM920" s="4"/>
      <c r="AN920" s="5"/>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v>2</v>
      </c>
      <c r="BY920" s="4">
        <f>2*510400</f>
        <v>1020800</v>
      </c>
      <c r="BZ920" s="4"/>
      <c r="CA920" s="4"/>
      <c r="CB920" s="4"/>
      <c r="CC920" s="4"/>
      <c r="CD920" s="4"/>
      <c r="CE920" s="4"/>
      <c r="CF920" s="4"/>
      <c r="CG920" s="4"/>
      <c r="CH920" s="4"/>
      <c r="CI920" s="4"/>
      <c r="CJ920" s="4"/>
      <c r="CK920" s="4"/>
      <c r="CL920" s="4">
        <v>480</v>
      </c>
      <c r="CM920" s="4">
        <f>480*18000</f>
        <v>8640000</v>
      </c>
      <c r="CN920" s="6"/>
      <c r="CO920" s="7"/>
      <c r="CP920" s="6"/>
      <c r="CQ920" s="7"/>
      <c r="CR920" s="6"/>
      <c r="CS920" s="7"/>
      <c r="CT920" s="8">
        <f t="shared" si="235"/>
        <v>9660800</v>
      </c>
      <c r="CU920" s="9">
        <f>10000+3000</f>
        <v>13000</v>
      </c>
      <c r="CV920" s="10">
        <f>10000*900.16+3000*900.16</f>
        <v>11702080</v>
      </c>
      <c r="CW920" s="11">
        <v>480</v>
      </c>
      <c r="CX920" s="12">
        <f>480*85000</f>
        <v>40800000</v>
      </c>
      <c r="CY920" s="26"/>
      <c r="CZ920" s="12"/>
      <c r="DA920" s="9"/>
      <c r="DB920" s="10"/>
      <c r="DC920" s="64"/>
      <c r="DD920" s="22"/>
    </row>
    <row r="921" spans="1:108" s="119" customFormat="1" ht="36" outlineLevel="2">
      <c r="A921" s="178">
        <v>40391</v>
      </c>
      <c r="B921" s="82" t="s">
        <v>1477</v>
      </c>
      <c r="C921" s="82" t="s">
        <v>1516</v>
      </c>
      <c r="D921" s="165" t="s">
        <v>1262</v>
      </c>
      <c r="E921" s="167"/>
      <c r="F921" s="66"/>
      <c r="G921" s="66"/>
      <c r="H921" s="66">
        <v>10550</v>
      </c>
      <c r="I921" s="66">
        <v>2110</v>
      </c>
      <c r="J921" s="66"/>
      <c r="K921" s="66">
        <v>2110</v>
      </c>
      <c r="L921" s="66"/>
      <c r="M921" s="66"/>
      <c r="N921" s="66"/>
      <c r="O921" s="66"/>
      <c r="P921" s="66"/>
      <c r="Q921" s="66"/>
      <c r="R921" s="66">
        <v>1</v>
      </c>
      <c r="S921" s="66"/>
      <c r="T921" s="67"/>
      <c r="U921" s="151"/>
      <c r="V921" s="1"/>
      <c r="W921" s="68">
        <f t="shared" si="230"/>
        <v>12331200</v>
      </c>
      <c r="X921" s="68">
        <f t="shared" si="231"/>
        <v>51000000</v>
      </c>
      <c r="Y921" s="68">
        <f t="shared" si="232"/>
        <v>0</v>
      </c>
      <c r="Z921" s="68">
        <f t="shared" si="233"/>
        <v>4500800</v>
      </c>
      <c r="AA921" s="68"/>
      <c r="AB921" s="68">
        <v>0</v>
      </c>
      <c r="AC921" s="69">
        <f t="shared" si="234"/>
        <v>67832000</v>
      </c>
      <c r="AD921" s="70">
        <v>155350000</v>
      </c>
      <c r="AE921" s="63">
        <v>40396</v>
      </c>
      <c r="AF921" s="72">
        <v>39941</v>
      </c>
      <c r="AG921" s="63" t="s">
        <v>954</v>
      </c>
      <c r="AH921" s="23" t="s">
        <v>955</v>
      </c>
      <c r="AI921" s="60"/>
      <c r="AJ921" s="158" t="s">
        <v>1543</v>
      </c>
      <c r="AK921" s="73" t="s">
        <v>1517</v>
      </c>
      <c r="AL921" s="3"/>
      <c r="AM921" s="4"/>
      <c r="AN921" s="5"/>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v>3</v>
      </c>
      <c r="BY921" s="4">
        <f>3*510400</f>
        <v>1531200</v>
      </c>
      <c r="BZ921" s="4"/>
      <c r="CA921" s="4"/>
      <c r="CB921" s="4"/>
      <c r="CC921" s="4"/>
      <c r="CD921" s="4"/>
      <c r="CE921" s="4"/>
      <c r="CF921" s="4"/>
      <c r="CG921" s="4"/>
      <c r="CH921" s="4"/>
      <c r="CI921" s="4"/>
      <c r="CJ921" s="4"/>
      <c r="CK921" s="4"/>
      <c r="CL921" s="4">
        <v>600</v>
      </c>
      <c r="CM921" s="4">
        <f>600*18000</f>
        <v>10800000</v>
      </c>
      <c r="CN921" s="6"/>
      <c r="CO921" s="7"/>
      <c r="CP921" s="6"/>
      <c r="CQ921" s="7"/>
      <c r="CR921" s="6"/>
      <c r="CS921" s="7"/>
      <c r="CT921" s="8">
        <f t="shared" si="235"/>
        <v>12331200</v>
      </c>
      <c r="CU921" s="9">
        <v>5000</v>
      </c>
      <c r="CV921" s="10">
        <f>5000*900.16</f>
        <v>4500800</v>
      </c>
      <c r="CW921" s="11">
        <v>600</v>
      </c>
      <c r="CX921" s="12">
        <f>600*85000</f>
        <v>51000000</v>
      </c>
      <c r="CY921" s="26"/>
      <c r="CZ921" s="12"/>
      <c r="DA921" s="9"/>
      <c r="DB921" s="10"/>
      <c r="DC921" s="64"/>
      <c r="DD921" s="22"/>
    </row>
    <row r="922" spans="1:108" s="119" customFormat="1" ht="72" outlineLevel="2">
      <c r="A922" s="178">
        <v>40391</v>
      </c>
      <c r="B922" s="82" t="s">
        <v>1477</v>
      </c>
      <c r="C922" s="82" t="s">
        <v>1478</v>
      </c>
      <c r="D922" s="165" t="s">
        <v>1262</v>
      </c>
      <c r="E922" s="167"/>
      <c r="F922" s="66"/>
      <c r="G922" s="66"/>
      <c r="H922" s="66">
        <v>41000</v>
      </c>
      <c r="I922" s="66">
        <v>8200</v>
      </c>
      <c r="J922" s="66"/>
      <c r="K922" s="66">
        <v>1263</v>
      </c>
      <c r="L922" s="66"/>
      <c r="M922" s="66"/>
      <c r="N922" s="66"/>
      <c r="O922" s="66"/>
      <c r="P922" s="66"/>
      <c r="Q922" s="66"/>
      <c r="R922" s="66">
        <v>7</v>
      </c>
      <c r="S922" s="66"/>
      <c r="T922" s="67"/>
      <c r="U922" s="151"/>
      <c r="V922" s="1">
        <v>40420</v>
      </c>
      <c r="W922" s="68">
        <f t="shared" si="230"/>
        <v>100208000</v>
      </c>
      <c r="X922" s="68">
        <f t="shared" si="231"/>
        <v>629000000</v>
      </c>
      <c r="Y922" s="68">
        <f t="shared" si="232"/>
        <v>0</v>
      </c>
      <c r="Z922" s="68">
        <f t="shared" si="233"/>
        <v>4500800</v>
      </c>
      <c r="AA922" s="68"/>
      <c r="AB922" s="68">
        <v>0</v>
      </c>
      <c r="AC922" s="69">
        <f t="shared" si="234"/>
        <v>733708800</v>
      </c>
      <c r="AD922" s="70">
        <v>257350000</v>
      </c>
      <c r="AE922" s="63">
        <v>40396</v>
      </c>
      <c r="AF922" s="72">
        <v>39941</v>
      </c>
      <c r="AG922" s="63" t="s">
        <v>954</v>
      </c>
      <c r="AH922" s="23" t="s">
        <v>955</v>
      </c>
      <c r="AI922" s="75" t="s">
        <v>692</v>
      </c>
      <c r="AJ922" s="158" t="s">
        <v>1543</v>
      </c>
      <c r="AK922" s="73" t="s">
        <v>2009</v>
      </c>
      <c r="AL922" s="3"/>
      <c r="AM922" s="4"/>
      <c r="AN922" s="5"/>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v>20</v>
      </c>
      <c r="BY922" s="4">
        <f>20*510400</f>
        <v>10208000</v>
      </c>
      <c r="BZ922" s="4"/>
      <c r="CA922" s="4"/>
      <c r="CB922" s="4"/>
      <c r="CC922" s="4"/>
      <c r="CD922" s="4"/>
      <c r="CE922" s="4"/>
      <c r="CF922" s="4"/>
      <c r="CG922" s="4"/>
      <c r="CH922" s="4"/>
      <c r="CI922" s="4"/>
      <c r="CJ922" s="4"/>
      <c r="CK922" s="4"/>
      <c r="CL922" s="4">
        <v>5000</v>
      </c>
      <c r="CM922" s="4">
        <f>5000*18000</f>
        <v>90000000</v>
      </c>
      <c r="CN922" s="6"/>
      <c r="CO922" s="7"/>
      <c r="CP922" s="6"/>
      <c r="CQ922" s="7"/>
      <c r="CR922" s="6"/>
      <c r="CS922" s="7"/>
      <c r="CT922" s="8">
        <f t="shared" si="235"/>
        <v>100208000</v>
      </c>
      <c r="CU922" s="9">
        <v>5000</v>
      </c>
      <c r="CV922" s="10">
        <f>5000*900.16</f>
        <v>4500800</v>
      </c>
      <c r="CW922" s="11">
        <f>1000+5200+1200</f>
        <v>7400</v>
      </c>
      <c r="CX922" s="12">
        <f>1000*85000+5200*85000+1200*85000</f>
        <v>629000000</v>
      </c>
      <c r="CY922" s="26"/>
      <c r="CZ922" s="12"/>
      <c r="DA922" s="9"/>
      <c r="DB922" s="10"/>
      <c r="DC922" s="64"/>
      <c r="DD922" s="22"/>
    </row>
    <row r="923" spans="1:108" s="119" customFormat="1" ht="72" outlineLevel="2">
      <c r="A923" s="178">
        <v>40391</v>
      </c>
      <c r="B923" s="82" t="s">
        <v>1477</v>
      </c>
      <c r="C923" s="82" t="s">
        <v>2025</v>
      </c>
      <c r="D923" s="165" t="s">
        <v>1262</v>
      </c>
      <c r="E923" s="167"/>
      <c r="F923" s="66"/>
      <c r="G923" s="66"/>
      <c r="H923" s="66">
        <v>12755</v>
      </c>
      <c r="I923" s="66">
        <v>2551</v>
      </c>
      <c r="J923" s="66"/>
      <c r="K923" s="66">
        <v>2551</v>
      </c>
      <c r="L923" s="66"/>
      <c r="M923" s="66"/>
      <c r="N923" s="66"/>
      <c r="O923" s="66"/>
      <c r="P923" s="66"/>
      <c r="Q923" s="66"/>
      <c r="R923" s="66"/>
      <c r="S923" s="66"/>
      <c r="T923" s="67"/>
      <c r="U923" s="151"/>
      <c r="V923" s="1"/>
      <c r="W923" s="68">
        <f t="shared" si="230"/>
        <v>6931200</v>
      </c>
      <c r="X923" s="68">
        <f t="shared" si="231"/>
        <v>25500000</v>
      </c>
      <c r="Y923" s="68">
        <f t="shared" si="232"/>
        <v>0</v>
      </c>
      <c r="Z923" s="68">
        <f t="shared" si="233"/>
        <v>4500800</v>
      </c>
      <c r="AA923" s="68"/>
      <c r="AB923" s="68">
        <v>150000000</v>
      </c>
      <c r="AC923" s="69">
        <f t="shared" si="234"/>
        <v>186932000</v>
      </c>
      <c r="AD923" s="70">
        <v>0</v>
      </c>
      <c r="AE923" s="63">
        <v>40396</v>
      </c>
      <c r="AF923" s="79" t="s">
        <v>1542</v>
      </c>
      <c r="AG923" s="63" t="s">
        <v>954</v>
      </c>
      <c r="AH923" s="23" t="s">
        <v>955</v>
      </c>
      <c r="AI923" s="60">
        <v>45812</v>
      </c>
      <c r="AJ923" s="158" t="s">
        <v>1543</v>
      </c>
      <c r="AK923" s="73" t="s">
        <v>2137</v>
      </c>
      <c r="AL923" s="3"/>
      <c r="AM923" s="4"/>
      <c r="AN923" s="5"/>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v>3</v>
      </c>
      <c r="BY923" s="4">
        <f>3*510400</f>
        <v>1531200</v>
      </c>
      <c r="BZ923" s="4"/>
      <c r="CA923" s="4"/>
      <c r="CB923" s="4"/>
      <c r="CC923" s="4"/>
      <c r="CD923" s="4"/>
      <c r="CE923" s="4"/>
      <c r="CF923" s="4"/>
      <c r="CG923" s="4"/>
      <c r="CH923" s="4"/>
      <c r="CI923" s="4"/>
      <c r="CJ923" s="4"/>
      <c r="CK923" s="4"/>
      <c r="CL923" s="4">
        <v>300</v>
      </c>
      <c r="CM923" s="4">
        <f>300*18000</f>
        <v>5400000</v>
      </c>
      <c r="CN923" s="6"/>
      <c r="CO923" s="7"/>
      <c r="CP923" s="6"/>
      <c r="CQ923" s="7"/>
      <c r="CR923" s="6"/>
      <c r="CS923" s="7"/>
      <c r="CT923" s="8">
        <f t="shared" si="235"/>
        <v>6931200</v>
      </c>
      <c r="CU923" s="9">
        <v>5000</v>
      </c>
      <c r="CV923" s="10">
        <f>5000*900.16</f>
        <v>4500800</v>
      </c>
      <c r="CW923" s="11">
        <v>300</v>
      </c>
      <c r="CX923" s="12">
        <f>300*85000</f>
        <v>25500000</v>
      </c>
      <c r="CY923" s="26"/>
      <c r="CZ923" s="12"/>
      <c r="DA923" s="9"/>
      <c r="DB923" s="10"/>
      <c r="DC923" s="64">
        <v>4</v>
      </c>
      <c r="DD923" s="22"/>
    </row>
    <row r="924" spans="1:108" s="119" customFormat="1" ht="48" outlineLevel="2">
      <c r="A924" s="178">
        <v>40391</v>
      </c>
      <c r="B924" s="82" t="s">
        <v>1477</v>
      </c>
      <c r="C924" s="82" t="s">
        <v>2033</v>
      </c>
      <c r="D924" s="165" t="s">
        <v>1262</v>
      </c>
      <c r="E924" s="167"/>
      <c r="F924" s="66"/>
      <c r="G924" s="66"/>
      <c r="H924" s="66">
        <v>2000</v>
      </c>
      <c r="I924" s="66">
        <v>400</v>
      </c>
      <c r="J924" s="66"/>
      <c r="K924" s="66">
        <v>400</v>
      </c>
      <c r="L924" s="66"/>
      <c r="M924" s="66"/>
      <c r="N924" s="66"/>
      <c r="O924" s="66"/>
      <c r="P924" s="66"/>
      <c r="Q924" s="66"/>
      <c r="R924" s="66"/>
      <c r="S924" s="66"/>
      <c r="T924" s="67"/>
      <c r="U924" s="151"/>
      <c r="V924" s="1">
        <v>40520</v>
      </c>
      <c r="W924" s="68">
        <f t="shared" si="230"/>
        <v>2791200</v>
      </c>
      <c r="X924" s="68">
        <f t="shared" si="231"/>
        <v>90950000</v>
      </c>
      <c r="Y924" s="68">
        <f t="shared" si="232"/>
        <v>0</v>
      </c>
      <c r="Z924" s="68">
        <f t="shared" si="233"/>
        <v>3600640</v>
      </c>
      <c r="AA924" s="68"/>
      <c r="AB924" s="68">
        <v>0</v>
      </c>
      <c r="AC924" s="69">
        <f t="shared" si="234"/>
        <v>97341840</v>
      </c>
      <c r="AD924" s="70">
        <v>0</v>
      </c>
      <c r="AE924" s="63">
        <v>40396</v>
      </c>
      <c r="AF924" s="72">
        <v>39941</v>
      </c>
      <c r="AG924" s="63" t="s">
        <v>954</v>
      </c>
      <c r="AH924" s="23" t="s">
        <v>955</v>
      </c>
      <c r="AI924" s="60">
        <v>26378</v>
      </c>
      <c r="AJ924" s="158" t="s">
        <v>1543</v>
      </c>
      <c r="AK924" s="73" t="s">
        <v>2016</v>
      </c>
      <c r="AL924" s="3"/>
      <c r="AM924" s="4"/>
      <c r="AN924" s="5"/>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v>3</v>
      </c>
      <c r="BY924" s="4">
        <f>3*510400</f>
        <v>1531200</v>
      </c>
      <c r="BZ924" s="4"/>
      <c r="CA924" s="4"/>
      <c r="CB924" s="4"/>
      <c r="CC924" s="4"/>
      <c r="CD924" s="4"/>
      <c r="CE924" s="4"/>
      <c r="CF924" s="4"/>
      <c r="CG924" s="4"/>
      <c r="CH924" s="4"/>
      <c r="CI924" s="4"/>
      <c r="CJ924" s="4"/>
      <c r="CK924" s="4"/>
      <c r="CL924" s="4">
        <v>70</v>
      </c>
      <c r="CM924" s="4">
        <f>70*18000</f>
        <v>1260000</v>
      </c>
      <c r="CN924" s="6"/>
      <c r="CO924" s="7"/>
      <c r="CP924" s="6"/>
      <c r="CQ924" s="7"/>
      <c r="CR924" s="6"/>
      <c r="CS924" s="7"/>
      <c r="CT924" s="8">
        <f t="shared" si="235"/>
        <v>2791200</v>
      </c>
      <c r="CU924" s="9">
        <v>4000</v>
      </c>
      <c r="CV924" s="10">
        <f>4000*900.16</f>
        <v>3600640</v>
      </c>
      <c r="CW924" s="11">
        <f>70+1000</f>
        <v>1070</v>
      </c>
      <c r="CX924" s="12">
        <f>70*85000+1000*85000</f>
        <v>90950000</v>
      </c>
      <c r="CY924" s="26"/>
      <c r="CZ924" s="12"/>
      <c r="DA924" s="9"/>
      <c r="DB924" s="10"/>
      <c r="DC924" s="64"/>
      <c r="DD924" s="22"/>
    </row>
    <row r="925" spans="1:108" s="119" customFormat="1" ht="84" outlineLevel="2">
      <c r="A925" s="178">
        <v>40391</v>
      </c>
      <c r="B925" s="82" t="s">
        <v>1477</v>
      </c>
      <c r="C925" s="82" t="s">
        <v>1436</v>
      </c>
      <c r="D925" s="165" t="s">
        <v>1262</v>
      </c>
      <c r="E925" s="167"/>
      <c r="F925" s="66"/>
      <c r="G925" s="66"/>
      <c r="H925" s="66">
        <v>6090</v>
      </c>
      <c r="I925" s="66">
        <v>1218</v>
      </c>
      <c r="J925" s="66"/>
      <c r="K925" s="66">
        <v>1218</v>
      </c>
      <c r="L925" s="66"/>
      <c r="M925" s="66"/>
      <c r="N925" s="66"/>
      <c r="O925" s="66"/>
      <c r="P925" s="66"/>
      <c r="Q925" s="66"/>
      <c r="R925" s="66"/>
      <c r="S925" s="66"/>
      <c r="T925" s="67"/>
      <c r="U925" s="151"/>
      <c r="V925" s="1">
        <v>40520</v>
      </c>
      <c r="W925" s="68">
        <f t="shared" si="230"/>
        <v>23455200</v>
      </c>
      <c r="X925" s="68">
        <f t="shared" si="231"/>
        <v>188530000</v>
      </c>
      <c r="Y925" s="68">
        <f t="shared" si="232"/>
        <v>0</v>
      </c>
      <c r="Z925" s="68">
        <f t="shared" si="233"/>
        <v>4500800</v>
      </c>
      <c r="AA925" s="68"/>
      <c r="AB925" s="68">
        <v>0</v>
      </c>
      <c r="AC925" s="69">
        <f t="shared" si="234"/>
        <v>216486000</v>
      </c>
      <c r="AD925" s="70">
        <v>0</v>
      </c>
      <c r="AE925" s="63">
        <v>40396</v>
      </c>
      <c r="AF925" s="72">
        <v>39941</v>
      </c>
      <c r="AG925" s="63" t="s">
        <v>954</v>
      </c>
      <c r="AH925" s="23" t="s">
        <v>955</v>
      </c>
      <c r="AI925" s="60">
        <v>26378</v>
      </c>
      <c r="AJ925" s="158" t="s">
        <v>1543</v>
      </c>
      <c r="AK925" s="73" t="s">
        <v>2013</v>
      </c>
      <c r="AL925" s="3"/>
      <c r="AM925" s="4"/>
      <c r="AN925" s="5"/>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v>3</v>
      </c>
      <c r="BY925" s="4">
        <f>3*510400</f>
        <v>1531200</v>
      </c>
      <c r="BZ925" s="4"/>
      <c r="CA925" s="4"/>
      <c r="CB925" s="4"/>
      <c r="CC925" s="4"/>
      <c r="CD925" s="4"/>
      <c r="CE925" s="4"/>
      <c r="CF925" s="4"/>
      <c r="CG925" s="4"/>
      <c r="CH925" s="4"/>
      <c r="CI925" s="4"/>
      <c r="CJ925" s="4"/>
      <c r="CK925" s="4"/>
      <c r="CL925" s="4">
        <v>1218</v>
      </c>
      <c r="CM925" s="4">
        <f>1218*18000</f>
        <v>21924000</v>
      </c>
      <c r="CN925" s="6"/>
      <c r="CO925" s="7"/>
      <c r="CP925" s="6"/>
      <c r="CQ925" s="7"/>
      <c r="CR925" s="6"/>
      <c r="CS925" s="7"/>
      <c r="CT925" s="8">
        <f t="shared" si="235"/>
        <v>23455200</v>
      </c>
      <c r="CU925" s="9">
        <v>5000</v>
      </c>
      <c r="CV925" s="10">
        <f>5000*900.16</f>
        <v>4500800</v>
      </c>
      <c r="CW925" s="11">
        <f>1218+1000</f>
        <v>2218</v>
      </c>
      <c r="CX925" s="12">
        <f>1218*85000+1000*85000</f>
        <v>188530000</v>
      </c>
      <c r="CY925" s="26"/>
      <c r="CZ925" s="12"/>
      <c r="DA925" s="9"/>
      <c r="DB925" s="10"/>
      <c r="DC925" s="64"/>
      <c r="DD925" s="22"/>
    </row>
    <row r="926" spans="1:108" s="119" customFormat="1" ht="72" outlineLevel="2">
      <c r="A926" s="178">
        <v>40391</v>
      </c>
      <c r="B926" s="82" t="s">
        <v>1477</v>
      </c>
      <c r="C926" s="82" t="s">
        <v>2034</v>
      </c>
      <c r="D926" s="165" t="s">
        <v>1262</v>
      </c>
      <c r="E926" s="167"/>
      <c r="F926" s="66"/>
      <c r="G926" s="66"/>
      <c r="H926" s="66">
        <v>8000</v>
      </c>
      <c r="I926" s="66">
        <v>1600</v>
      </c>
      <c r="J926" s="66"/>
      <c r="K926" s="66">
        <v>1600</v>
      </c>
      <c r="L926" s="66"/>
      <c r="M926" s="66"/>
      <c r="N926" s="66"/>
      <c r="O926" s="66"/>
      <c r="P926" s="66"/>
      <c r="Q926" s="66"/>
      <c r="R926" s="66"/>
      <c r="S926" s="66"/>
      <c r="T926" s="67"/>
      <c r="U926" s="151"/>
      <c r="V926" s="1">
        <v>40470</v>
      </c>
      <c r="W926" s="68">
        <f t="shared" si="230"/>
        <v>44523200</v>
      </c>
      <c r="X926" s="68">
        <f t="shared" si="231"/>
        <v>115770000</v>
      </c>
      <c r="Y926" s="68">
        <f t="shared" si="232"/>
        <v>0</v>
      </c>
      <c r="Z926" s="68">
        <f t="shared" si="233"/>
        <v>4500800</v>
      </c>
      <c r="AA926" s="68">
        <v>64472800</v>
      </c>
      <c r="AB926" s="68">
        <v>0</v>
      </c>
      <c r="AC926" s="69">
        <f t="shared" si="234"/>
        <v>229266800</v>
      </c>
      <c r="AD926" s="70">
        <v>129850000</v>
      </c>
      <c r="AE926" s="63">
        <v>40396</v>
      </c>
      <c r="AF926" s="79" t="s">
        <v>1310</v>
      </c>
      <c r="AG926" s="63" t="s">
        <v>954</v>
      </c>
      <c r="AH926" s="23" t="s">
        <v>955</v>
      </c>
      <c r="AI926" s="60">
        <v>22205</v>
      </c>
      <c r="AJ926" s="158" t="s">
        <v>1311</v>
      </c>
      <c r="AK926" s="73" t="s">
        <v>2313</v>
      </c>
      <c r="AL926" s="3"/>
      <c r="AM926" s="4"/>
      <c r="AN926" s="5"/>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v>3</v>
      </c>
      <c r="BY926" s="4">
        <f>3*510400</f>
        <v>1531200</v>
      </c>
      <c r="BZ926" s="4"/>
      <c r="CA926" s="4"/>
      <c r="CB926" s="4"/>
      <c r="CC926" s="4"/>
      <c r="CD926" s="4"/>
      <c r="CE926" s="4"/>
      <c r="CF926" s="4"/>
      <c r="CG926" s="4"/>
      <c r="CH926" s="4"/>
      <c r="CI926" s="4"/>
      <c r="CJ926" s="4"/>
      <c r="CK926" s="4"/>
      <c r="CL926" s="4">
        <f>862+500</f>
        <v>1362</v>
      </c>
      <c r="CM926" s="4">
        <f>862*18000+500*18000</f>
        <v>24516000</v>
      </c>
      <c r="CN926" s="6">
        <v>500</v>
      </c>
      <c r="CO926" s="7">
        <f>500*36952</f>
        <v>18476000</v>
      </c>
      <c r="CP926" s="6"/>
      <c r="CQ926" s="7"/>
      <c r="CR926" s="6"/>
      <c r="CS926" s="7"/>
      <c r="CT926" s="8">
        <f t="shared" si="235"/>
        <v>44523200</v>
      </c>
      <c r="CU926" s="9">
        <v>5000</v>
      </c>
      <c r="CV926" s="10">
        <f>5000*900.16</f>
        <v>4500800</v>
      </c>
      <c r="CW926" s="11">
        <f>862+500</f>
        <v>1362</v>
      </c>
      <c r="CX926" s="12">
        <f>862*85000+500*85000</f>
        <v>115770000</v>
      </c>
      <c r="CY926" s="26"/>
      <c r="CZ926" s="12"/>
      <c r="DA926" s="9"/>
      <c r="DB926" s="10"/>
      <c r="DC926" s="64"/>
      <c r="DD926" s="22"/>
    </row>
    <row r="927" spans="1:108" s="119" customFormat="1" ht="84" outlineLevel="2">
      <c r="A927" s="178">
        <v>40391</v>
      </c>
      <c r="B927" s="82" t="s">
        <v>1477</v>
      </c>
      <c r="C927" s="82" t="s">
        <v>2035</v>
      </c>
      <c r="D927" s="165" t="s">
        <v>1262</v>
      </c>
      <c r="E927" s="167"/>
      <c r="F927" s="66"/>
      <c r="G927" s="66"/>
      <c r="H927" s="66">
        <v>5400</v>
      </c>
      <c r="I927" s="66">
        <v>1080</v>
      </c>
      <c r="J927" s="66"/>
      <c r="K927" s="66">
        <v>1080</v>
      </c>
      <c r="L927" s="66"/>
      <c r="M927" s="66"/>
      <c r="N927" s="66"/>
      <c r="O927" s="66"/>
      <c r="P927" s="66"/>
      <c r="Q927" s="66"/>
      <c r="R927" s="66"/>
      <c r="S927" s="66"/>
      <c r="T927" s="67"/>
      <c r="U927" s="151"/>
      <c r="V927" s="1">
        <v>40505</v>
      </c>
      <c r="W927" s="68">
        <f t="shared" si="230"/>
        <v>12452000</v>
      </c>
      <c r="X927" s="68">
        <f t="shared" si="231"/>
        <v>46750000</v>
      </c>
      <c r="Y927" s="68">
        <f t="shared" si="232"/>
        <v>0</v>
      </c>
      <c r="Z927" s="68">
        <f t="shared" si="233"/>
        <v>4500800</v>
      </c>
      <c r="AA927" s="68"/>
      <c r="AB927" s="68">
        <v>82339000</v>
      </c>
      <c r="AC927" s="69">
        <f t="shared" si="234"/>
        <v>146041800</v>
      </c>
      <c r="AD927" s="70">
        <v>174700000</v>
      </c>
      <c r="AE927" s="63">
        <v>40396</v>
      </c>
      <c r="AF927" s="72">
        <v>39941</v>
      </c>
      <c r="AG927" s="63" t="s">
        <v>954</v>
      </c>
      <c r="AH927" s="23" t="s">
        <v>955</v>
      </c>
      <c r="AI927" s="60">
        <v>44149</v>
      </c>
      <c r="AJ927" s="158" t="s">
        <v>1543</v>
      </c>
      <c r="AK927" s="73" t="s">
        <v>279</v>
      </c>
      <c r="AL927" s="3"/>
      <c r="AM927" s="4"/>
      <c r="AN927" s="5"/>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v>5</v>
      </c>
      <c r="BY927" s="4">
        <f>5*510400</f>
        <v>2552000</v>
      </c>
      <c r="BZ927" s="4"/>
      <c r="CA927" s="4"/>
      <c r="CB927" s="4"/>
      <c r="CC927" s="4"/>
      <c r="CD927" s="4"/>
      <c r="CE927" s="4"/>
      <c r="CF927" s="4"/>
      <c r="CG927" s="4"/>
      <c r="CH927" s="4"/>
      <c r="CI927" s="4"/>
      <c r="CJ927" s="4"/>
      <c r="CK927" s="4"/>
      <c r="CL927" s="4">
        <v>550</v>
      </c>
      <c r="CM927" s="4">
        <f>550*18000</f>
        <v>9900000</v>
      </c>
      <c r="CN927" s="6"/>
      <c r="CO927" s="7"/>
      <c r="CP927" s="6"/>
      <c r="CQ927" s="7"/>
      <c r="CR927" s="6"/>
      <c r="CS927" s="7"/>
      <c r="CT927" s="8">
        <f t="shared" si="235"/>
        <v>12452000</v>
      </c>
      <c r="CU927" s="9">
        <v>5000</v>
      </c>
      <c r="CV927" s="10">
        <f>5000*900.16</f>
        <v>4500800</v>
      </c>
      <c r="CW927" s="11">
        <v>550</v>
      </c>
      <c r="CX927" s="12">
        <f>550*85000</f>
        <v>46750000</v>
      </c>
      <c r="CY927" s="26"/>
      <c r="CZ927" s="12"/>
      <c r="DA927" s="9"/>
      <c r="DB927" s="10"/>
      <c r="DC927" s="64">
        <v>4</v>
      </c>
      <c r="DD927" s="22"/>
    </row>
    <row r="928" spans="1:108" s="119" customFormat="1" ht="36" outlineLevel="2">
      <c r="A928" s="178">
        <v>40391</v>
      </c>
      <c r="B928" s="82" t="s">
        <v>1477</v>
      </c>
      <c r="C928" s="82" t="s">
        <v>2029</v>
      </c>
      <c r="D928" s="165" t="s">
        <v>1262</v>
      </c>
      <c r="E928" s="167"/>
      <c r="F928" s="66"/>
      <c r="G928" s="66"/>
      <c r="H928" s="66">
        <v>9185</v>
      </c>
      <c r="I928" s="66">
        <v>1837</v>
      </c>
      <c r="J928" s="66"/>
      <c r="K928" s="66">
        <v>1837</v>
      </c>
      <c r="L928" s="66"/>
      <c r="M928" s="66"/>
      <c r="N928" s="66"/>
      <c r="O928" s="66"/>
      <c r="P928" s="66"/>
      <c r="Q928" s="66"/>
      <c r="R928" s="66"/>
      <c r="S928" s="66"/>
      <c r="T928" s="67"/>
      <c r="U928" s="151"/>
      <c r="V928" s="1">
        <v>40452</v>
      </c>
      <c r="W928" s="68">
        <f t="shared" si="230"/>
        <v>83047600</v>
      </c>
      <c r="X928" s="68">
        <f t="shared" si="231"/>
        <v>119000000</v>
      </c>
      <c r="Y928" s="68">
        <f t="shared" si="232"/>
        <v>0</v>
      </c>
      <c r="Z928" s="68">
        <f t="shared" si="233"/>
        <v>2700480</v>
      </c>
      <c r="AA928" s="68"/>
      <c r="AB928" s="68">
        <v>0</v>
      </c>
      <c r="AC928" s="69">
        <f t="shared" si="234"/>
        <v>204748080</v>
      </c>
      <c r="AD928" s="70">
        <v>129850000</v>
      </c>
      <c r="AE928" s="63">
        <v>40396</v>
      </c>
      <c r="AF928" s="72">
        <v>39941</v>
      </c>
      <c r="AG928" s="63" t="s">
        <v>954</v>
      </c>
      <c r="AH928" s="23" t="s">
        <v>955</v>
      </c>
      <c r="AI928" s="60">
        <v>20868</v>
      </c>
      <c r="AJ928" s="158" t="s">
        <v>1543</v>
      </c>
      <c r="AK928" s="73" t="s">
        <v>2010</v>
      </c>
      <c r="AL928" s="3"/>
      <c r="AM928" s="4"/>
      <c r="AN928" s="5"/>
      <c r="AO928" s="4"/>
      <c r="AP928" s="4"/>
      <c r="AQ928" s="4"/>
      <c r="AR928" s="4"/>
      <c r="AS928" s="4"/>
      <c r="AT928" s="4"/>
      <c r="AU928" s="4"/>
      <c r="AV928" s="4"/>
      <c r="AW928" s="4"/>
      <c r="AX928" s="4"/>
      <c r="AY928" s="4"/>
      <c r="AZ928" s="4"/>
      <c r="BA928" s="4"/>
      <c r="BB928" s="4"/>
      <c r="BC928" s="4"/>
      <c r="BD928" s="4"/>
      <c r="BE928" s="4"/>
      <c r="BF928" s="4"/>
      <c r="BG928" s="4"/>
      <c r="BH928" s="4"/>
      <c r="BI928" s="4"/>
      <c r="BJ928" s="4">
        <v>700</v>
      </c>
      <c r="BK928" s="4">
        <f>700*25500</f>
        <v>17850000</v>
      </c>
      <c r="BL928" s="4"/>
      <c r="BM928" s="4"/>
      <c r="BN928" s="4"/>
      <c r="BO928" s="4"/>
      <c r="BP928" s="4"/>
      <c r="BQ928" s="4"/>
      <c r="BR928" s="4"/>
      <c r="BS928" s="4"/>
      <c r="BT928" s="4"/>
      <c r="BU928" s="4"/>
      <c r="BV928" s="4"/>
      <c r="BW928" s="4"/>
      <c r="BX928" s="4">
        <v>3</v>
      </c>
      <c r="BY928" s="4">
        <f>3*510400</f>
        <v>1531200</v>
      </c>
      <c r="BZ928" s="4"/>
      <c r="CA928" s="4"/>
      <c r="CB928" s="4"/>
      <c r="CC928" s="4"/>
      <c r="CD928" s="4"/>
      <c r="CE928" s="4"/>
      <c r="CF928" s="4"/>
      <c r="CG928" s="4"/>
      <c r="CH928" s="4"/>
      <c r="CI928" s="4"/>
      <c r="CJ928" s="4"/>
      <c r="CK928" s="4"/>
      <c r="CL928" s="4">
        <f>1400+700</f>
        <v>2100</v>
      </c>
      <c r="CM928" s="4">
        <f>1400*18000+700*18000</f>
        <v>37800000</v>
      </c>
      <c r="CN928" s="6">
        <v>700</v>
      </c>
      <c r="CO928" s="7">
        <f>700*36952</f>
        <v>25866400</v>
      </c>
      <c r="CP928" s="6"/>
      <c r="CQ928" s="7"/>
      <c r="CR928" s="6"/>
      <c r="CS928" s="7"/>
      <c r="CT928" s="8">
        <f t="shared" si="235"/>
        <v>83047600</v>
      </c>
      <c r="CU928" s="9">
        <v>3000</v>
      </c>
      <c r="CV928" s="10">
        <f>3000*900.16</f>
        <v>2700480</v>
      </c>
      <c r="CW928" s="11">
        <f>700+700</f>
        <v>1400</v>
      </c>
      <c r="CX928" s="12">
        <f>700*85000+700*85000</f>
        <v>119000000</v>
      </c>
      <c r="CY928" s="26"/>
      <c r="CZ928" s="12"/>
      <c r="DA928" s="9"/>
      <c r="DB928" s="10"/>
      <c r="DC928" s="64"/>
      <c r="DD928" s="22"/>
    </row>
    <row r="929" spans="1:108" s="119" customFormat="1" ht="48" outlineLevel="2">
      <c r="A929" s="178">
        <v>40391</v>
      </c>
      <c r="B929" s="82" t="s">
        <v>1477</v>
      </c>
      <c r="C929" s="82" t="s">
        <v>2026</v>
      </c>
      <c r="D929" s="165" t="s">
        <v>1262</v>
      </c>
      <c r="E929" s="167"/>
      <c r="F929" s="66"/>
      <c r="G929" s="66"/>
      <c r="H929" s="66">
        <v>500</v>
      </c>
      <c r="I929" s="66">
        <v>100</v>
      </c>
      <c r="J929" s="66"/>
      <c r="K929" s="66">
        <v>100</v>
      </c>
      <c r="L929" s="66"/>
      <c r="M929" s="66"/>
      <c r="N929" s="66"/>
      <c r="O929" s="66"/>
      <c r="P929" s="66"/>
      <c r="Q929" s="66"/>
      <c r="R929" s="66"/>
      <c r="S929" s="66"/>
      <c r="T929" s="67"/>
      <c r="U929" s="151"/>
      <c r="V929" s="1"/>
      <c r="W929" s="68">
        <f t="shared" si="230"/>
        <v>4620800</v>
      </c>
      <c r="X929" s="68">
        <f t="shared" si="231"/>
        <v>17000000</v>
      </c>
      <c r="Y929" s="68">
        <f t="shared" si="232"/>
        <v>0</v>
      </c>
      <c r="Z929" s="68">
        <f t="shared" si="233"/>
        <v>1800320</v>
      </c>
      <c r="AA929" s="68"/>
      <c r="AB929" s="68">
        <v>0</v>
      </c>
      <c r="AC929" s="69">
        <f t="shared" si="234"/>
        <v>23421120</v>
      </c>
      <c r="AD929" s="70">
        <v>34000000</v>
      </c>
      <c r="AE929" s="63">
        <v>40396</v>
      </c>
      <c r="AF929" s="72">
        <v>39941</v>
      </c>
      <c r="AG929" s="63" t="s">
        <v>954</v>
      </c>
      <c r="AH929" s="23" t="s">
        <v>955</v>
      </c>
      <c r="AI929" s="60"/>
      <c r="AJ929" s="158" t="s">
        <v>1543</v>
      </c>
      <c r="AK929" s="73" t="s">
        <v>2007</v>
      </c>
      <c r="AL929" s="3"/>
      <c r="AM929" s="4"/>
      <c r="AN929" s="5"/>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v>2</v>
      </c>
      <c r="BY929" s="4">
        <f>2*510400</f>
        <v>1020800</v>
      </c>
      <c r="BZ929" s="4"/>
      <c r="CA929" s="4"/>
      <c r="CB929" s="4"/>
      <c r="CC929" s="4"/>
      <c r="CD929" s="4"/>
      <c r="CE929" s="4"/>
      <c r="CF929" s="4"/>
      <c r="CG929" s="4"/>
      <c r="CH929" s="4"/>
      <c r="CI929" s="4"/>
      <c r="CJ929" s="4"/>
      <c r="CK929" s="4"/>
      <c r="CL929" s="4">
        <v>200</v>
      </c>
      <c r="CM929" s="4">
        <f>200*18000</f>
        <v>3600000</v>
      </c>
      <c r="CN929" s="6"/>
      <c r="CO929" s="7"/>
      <c r="CP929" s="6"/>
      <c r="CQ929" s="7"/>
      <c r="CR929" s="6"/>
      <c r="CS929" s="7"/>
      <c r="CT929" s="8">
        <f t="shared" si="235"/>
        <v>4620800</v>
      </c>
      <c r="CU929" s="9">
        <v>2000</v>
      </c>
      <c r="CV929" s="10">
        <f>2000*900.16</f>
        <v>1800320</v>
      </c>
      <c r="CW929" s="11">
        <v>200</v>
      </c>
      <c r="CX929" s="12">
        <f>200*85000</f>
        <v>17000000</v>
      </c>
      <c r="CY929" s="26"/>
      <c r="CZ929" s="12"/>
      <c r="DA929" s="9"/>
      <c r="DB929" s="10"/>
      <c r="DC929" s="64"/>
      <c r="DD929" s="22"/>
    </row>
    <row r="930" spans="1:108" s="119" customFormat="1" ht="96" outlineLevel="2">
      <c r="A930" s="178">
        <v>40391</v>
      </c>
      <c r="B930" s="82" t="s">
        <v>1477</v>
      </c>
      <c r="C930" s="82" t="s">
        <v>2032</v>
      </c>
      <c r="D930" s="165" t="s">
        <v>1262</v>
      </c>
      <c r="E930" s="167"/>
      <c r="F930" s="66"/>
      <c r="G930" s="66"/>
      <c r="H930" s="66">
        <v>6000</v>
      </c>
      <c r="I930" s="66">
        <v>1200</v>
      </c>
      <c r="J930" s="66"/>
      <c r="K930" s="66">
        <v>1200</v>
      </c>
      <c r="L930" s="66"/>
      <c r="M930" s="66"/>
      <c r="N930" s="66"/>
      <c r="O930" s="66"/>
      <c r="P930" s="66"/>
      <c r="Q930" s="66"/>
      <c r="R930" s="66"/>
      <c r="S930" s="66"/>
      <c r="T930" s="67"/>
      <c r="U930" s="151"/>
      <c r="V930" s="1">
        <v>40477</v>
      </c>
      <c r="W930" s="68">
        <f t="shared" si="230"/>
        <v>7200000</v>
      </c>
      <c r="X930" s="68">
        <f t="shared" si="231"/>
        <v>136000000</v>
      </c>
      <c r="Y930" s="68">
        <f t="shared" si="232"/>
        <v>0</v>
      </c>
      <c r="Z930" s="68">
        <f t="shared" si="233"/>
        <v>2700480</v>
      </c>
      <c r="AA930" s="68"/>
      <c r="AB930" s="68">
        <v>57200000</v>
      </c>
      <c r="AC930" s="69">
        <f t="shared" si="234"/>
        <v>203100480</v>
      </c>
      <c r="AD930" s="70">
        <v>87350000</v>
      </c>
      <c r="AE930" s="63">
        <v>40396</v>
      </c>
      <c r="AF930" s="72">
        <v>39941</v>
      </c>
      <c r="AG930" s="63" t="s">
        <v>954</v>
      </c>
      <c r="AH930" s="23" t="s">
        <v>955</v>
      </c>
      <c r="AI930" s="60">
        <v>39659</v>
      </c>
      <c r="AJ930" s="158" t="s">
        <v>1543</v>
      </c>
      <c r="AK930" s="73" t="s">
        <v>2012</v>
      </c>
      <c r="AL930" s="3"/>
      <c r="AM930" s="4"/>
      <c r="AN930" s="5"/>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v>400</v>
      </c>
      <c r="CM930" s="4">
        <f>400*18000</f>
        <v>7200000</v>
      </c>
      <c r="CN930" s="6"/>
      <c r="CO930" s="7"/>
      <c r="CP930" s="6"/>
      <c r="CQ930" s="7"/>
      <c r="CR930" s="6"/>
      <c r="CS930" s="7"/>
      <c r="CT930" s="8">
        <f t="shared" si="235"/>
        <v>7200000</v>
      </c>
      <c r="CU930" s="9">
        <v>3000</v>
      </c>
      <c r="CV930" s="10">
        <f>3000*900.16</f>
        <v>2700480</v>
      </c>
      <c r="CW930" s="11">
        <f>400+1200</f>
        <v>1600</v>
      </c>
      <c r="CX930" s="12">
        <f>400*85000+1200*85000</f>
        <v>136000000</v>
      </c>
      <c r="CY930" s="26"/>
      <c r="CZ930" s="12"/>
      <c r="DA930" s="9"/>
      <c r="DB930" s="10"/>
      <c r="DC930" s="64">
        <v>2</v>
      </c>
      <c r="DD930" s="22"/>
    </row>
    <row r="931" spans="1:108" s="119" customFormat="1" ht="48" outlineLevel="2">
      <c r="A931" s="178">
        <v>40391</v>
      </c>
      <c r="B931" s="82" t="s">
        <v>1477</v>
      </c>
      <c r="C931" s="82" t="s">
        <v>1514</v>
      </c>
      <c r="D931" s="165" t="s">
        <v>1262</v>
      </c>
      <c r="E931" s="167"/>
      <c r="F931" s="66"/>
      <c r="G931" s="66"/>
      <c r="H931" s="66">
        <v>8896</v>
      </c>
      <c r="I931" s="66">
        <v>2224</v>
      </c>
      <c r="J931" s="66"/>
      <c r="K931" s="66">
        <v>2224</v>
      </c>
      <c r="L931" s="66"/>
      <c r="M931" s="66"/>
      <c r="N931" s="66"/>
      <c r="O931" s="66"/>
      <c r="P931" s="66"/>
      <c r="Q931" s="66"/>
      <c r="R931" s="66"/>
      <c r="S931" s="66"/>
      <c r="T931" s="67"/>
      <c r="U931" s="151"/>
      <c r="V931" s="1"/>
      <c r="W931" s="68">
        <f t="shared" si="230"/>
        <v>12781200</v>
      </c>
      <c r="X931" s="68">
        <f t="shared" si="231"/>
        <v>170000000</v>
      </c>
      <c r="Y931" s="68">
        <f t="shared" si="232"/>
        <v>0</v>
      </c>
      <c r="Z931" s="68">
        <f t="shared" si="233"/>
        <v>4500800</v>
      </c>
      <c r="AA931" s="68"/>
      <c r="AB931" s="68">
        <v>0</v>
      </c>
      <c r="AC931" s="69">
        <f t="shared" si="234"/>
        <v>187282000</v>
      </c>
      <c r="AD931" s="70">
        <v>0</v>
      </c>
      <c r="AE931" s="63">
        <v>40396</v>
      </c>
      <c r="AF931" s="72">
        <v>39941</v>
      </c>
      <c r="AG931" s="63" t="s">
        <v>954</v>
      </c>
      <c r="AH931" s="23" t="s">
        <v>955</v>
      </c>
      <c r="AI931" s="60">
        <v>26466</v>
      </c>
      <c r="AJ931" s="158" t="s">
        <v>1543</v>
      </c>
      <c r="AK931" s="73" t="s">
        <v>1515</v>
      </c>
      <c r="AL931" s="3"/>
      <c r="AM931" s="4"/>
      <c r="AN931" s="5"/>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f>3+5</f>
        <v>8</v>
      </c>
      <c r="BY931" s="4">
        <f>3*510400+5*450000</f>
        <v>3781200</v>
      </c>
      <c r="BZ931" s="4"/>
      <c r="CA931" s="4"/>
      <c r="CB931" s="4"/>
      <c r="CC931" s="4"/>
      <c r="CD931" s="4"/>
      <c r="CE931" s="4"/>
      <c r="CF931" s="4"/>
      <c r="CG931" s="4"/>
      <c r="CH931" s="4"/>
      <c r="CI931" s="4"/>
      <c r="CJ931" s="4"/>
      <c r="CK931" s="4"/>
      <c r="CL931" s="4">
        <v>500</v>
      </c>
      <c r="CM931" s="4">
        <f>500*18000</f>
        <v>9000000</v>
      </c>
      <c r="CN931" s="6"/>
      <c r="CO931" s="7"/>
      <c r="CP931" s="6"/>
      <c r="CQ931" s="7"/>
      <c r="CR931" s="6"/>
      <c r="CS931" s="7"/>
      <c r="CT931" s="8">
        <f t="shared" si="235"/>
        <v>12781200</v>
      </c>
      <c r="CU931" s="9">
        <v>5000</v>
      </c>
      <c r="CV931" s="10">
        <f>5000*900.16</f>
        <v>4500800</v>
      </c>
      <c r="CW931" s="11">
        <f>500+1500</f>
        <v>2000</v>
      </c>
      <c r="CX931" s="12">
        <f>500*85000+1500*85000</f>
        <v>170000000</v>
      </c>
      <c r="CY931" s="26"/>
      <c r="CZ931" s="12"/>
      <c r="DA931" s="9"/>
      <c r="DB931" s="10"/>
      <c r="DC931" s="64"/>
      <c r="DD931" s="22">
        <v>1211</v>
      </c>
    </row>
    <row r="932" spans="1:108" s="119" customFormat="1" ht="48" outlineLevel="2">
      <c r="A932" s="178">
        <v>40391</v>
      </c>
      <c r="B932" s="82" t="s">
        <v>1477</v>
      </c>
      <c r="C932" s="82" t="s">
        <v>940</v>
      </c>
      <c r="D932" s="165" t="s">
        <v>1262</v>
      </c>
      <c r="E932" s="167"/>
      <c r="F932" s="66"/>
      <c r="G932" s="66"/>
      <c r="H932" s="66">
        <v>13500</v>
      </c>
      <c r="I932" s="66">
        <v>2700</v>
      </c>
      <c r="J932" s="66"/>
      <c r="K932" s="66">
        <v>2700</v>
      </c>
      <c r="L932" s="66"/>
      <c r="M932" s="66"/>
      <c r="N932" s="66"/>
      <c r="O932" s="66"/>
      <c r="P932" s="66"/>
      <c r="Q932" s="66"/>
      <c r="R932" s="66">
        <v>1</v>
      </c>
      <c r="S932" s="66"/>
      <c r="T932" s="67"/>
      <c r="U932" s="151"/>
      <c r="V932" s="1">
        <v>40466</v>
      </c>
      <c r="W932" s="68">
        <f t="shared" si="230"/>
        <v>80681600</v>
      </c>
      <c r="X932" s="68">
        <f t="shared" si="231"/>
        <v>172550000</v>
      </c>
      <c r="Y932" s="68">
        <f t="shared" si="232"/>
        <v>0</v>
      </c>
      <c r="Z932" s="68">
        <f t="shared" si="233"/>
        <v>1800320</v>
      </c>
      <c r="AA932" s="68"/>
      <c r="AB932" s="68">
        <v>0</v>
      </c>
      <c r="AC932" s="69">
        <f t="shared" si="234"/>
        <v>255031920</v>
      </c>
      <c r="AD932" s="70">
        <v>217400000</v>
      </c>
      <c r="AE932" s="63">
        <v>40396</v>
      </c>
      <c r="AF932" s="72">
        <v>39941</v>
      </c>
      <c r="AG932" s="63" t="s">
        <v>954</v>
      </c>
      <c r="AH932" s="23" t="s">
        <v>955</v>
      </c>
      <c r="AI932" s="60">
        <v>21463</v>
      </c>
      <c r="AJ932" s="158" t="s">
        <v>1543</v>
      </c>
      <c r="AK932" s="73" t="s">
        <v>2011</v>
      </c>
      <c r="AL932" s="3"/>
      <c r="AM932" s="4"/>
      <c r="AN932" s="5"/>
      <c r="AO932" s="4"/>
      <c r="AP932" s="4"/>
      <c r="AQ932" s="4"/>
      <c r="AR932" s="4"/>
      <c r="AS932" s="4"/>
      <c r="AT932" s="4"/>
      <c r="AU932" s="4"/>
      <c r="AV932" s="4"/>
      <c r="AW932" s="4"/>
      <c r="AX932" s="4"/>
      <c r="AY932" s="4"/>
      <c r="AZ932" s="4"/>
      <c r="BA932" s="4"/>
      <c r="BB932" s="4"/>
      <c r="BC932" s="4"/>
      <c r="BD932" s="4"/>
      <c r="BE932" s="4"/>
      <c r="BF932" s="4"/>
      <c r="BG932" s="4"/>
      <c r="BH932" s="4"/>
      <c r="BI932" s="4"/>
      <c r="BJ932" s="4">
        <v>500</v>
      </c>
      <c r="BK932" s="4">
        <f>500*25500</f>
        <v>12750000</v>
      </c>
      <c r="BL932" s="4"/>
      <c r="BM932" s="4"/>
      <c r="BN932" s="4"/>
      <c r="BO932" s="4"/>
      <c r="BP932" s="4"/>
      <c r="BQ932" s="4"/>
      <c r="BR932" s="4"/>
      <c r="BS932" s="4"/>
      <c r="BT932" s="4"/>
      <c r="BU932" s="4"/>
      <c r="BV932" s="4"/>
      <c r="BW932" s="4"/>
      <c r="BX932" s="4">
        <f>3+4</f>
        <v>7</v>
      </c>
      <c r="BY932" s="4">
        <f>3*450000+4*510400</f>
        <v>3391600</v>
      </c>
      <c r="BZ932" s="4"/>
      <c r="CA932" s="4"/>
      <c r="CB932" s="4"/>
      <c r="CC932" s="4"/>
      <c r="CD932" s="4"/>
      <c r="CE932" s="4"/>
      <c r="CF932" s="4"/>
      <c r="CG932" s="4"/>
      <c r="CH932" s="4"/>
      <c r="CI932" s="4"/>
      <c r="CJ932" s="4"/>
      <c r="CK932" s="4"/>
      <c r="CL932" s="4">
        <f>500+1030</f>
        <v>1530</v>
      </c>
      <c r="CM932" s="4">
        <f>500*18000+1030*18000</f>
        <v>27540000</v>
      </c>
      <c r="CN932" s="6">
        <v>1000</v>
      </c>
      <c r="CO932" s="7">
        <f>1000*37000</f>
        <v>37000000</v>
      </c>
      <c r="CP932" s="6"/>
      <c r="CQ932" s="7"/>
      <c r="CR932" s="6"/>
      <c r="CS932" s="7"/>
      <c r="CT932" s="8">
        <f t="shared" si="235"/>
        <v>80681600</v>
      </c>
      <c r="CU932" s="9">
        <v>2000</v>
      </c>
      <c r="CV932" s="10">
        <f>2000*900.16</f>
        <v>1800320</v>
      </c>
      <c r="CW932" s="11">
        <f>1030+1000</f>
        <v>2030</v>
      </c>
      <c r="CX932" s="12">
        <f>1030*85000+1000*85000</f>
        <v>172550000</v>
      </c>
      <c r="CY932" s="26"/>
      <c r="CZ932" s="12"/>
      <c r="DA932" s="9"/>
      <c r="DB932" s="10"/>
      <c r="DC932" s="64"/>
      <c r="DD932" s="22"/>
    </row>
    <row r="933" spans="1:108" s="119" customFormat="1" ht="33.75" outlineLevel="2">
      <c r="A933" s="178">
        <v>40391</v>
      </c>
      <c r="B933" s="82" t="s">
        <v>1477</v>
      </c>
      <c r="C933" s="82" t="s">
        <v>2027</v>
      </c>
      <c r="D933" s="165" t="s">
        <v>1262</v>
      </c>
      <c r="E933" s="167"/>
      <c r="F933" s="66"/>
      <c r="G933" s="66"/>
      <c r="H933" s="66">
        <v>3600</v>
      </c>
      <c r="I933" s="66">
        <v>720</v>
      </c>
      <c r="J933" s="66"/>
      <c r="K933" s="66">
        <v>720</v>
      </c>
      <c r="L933" s="66"/>
      <c r="M933" s="66"/>
      <c r="N933" s="66"/>
      <c r="O933" s="66"/>
      <c r="P933" s="66"/>
      <c r="Q933" s="66"/>
      <c r="R933" s="66"/>
      <c r="S933" s="66"/>
      <c r="T933" s="67"/>
      <c r="U933" s="151"/>
      <c r="V933" s="1"/>
      <c r="W933" s="68">
        <f t="shared" si="230"/>
        <v>12763200</v>
      </c>
      <c r="X933" s="68">
        <f t="shared" si="231"/>
        <v>53040000</v>
      </c>
      <c r="Y933" s="68">
        <f t="shared" si="232"/>
        <v>0</v>
      </c>
      <c r="Z933" s="68">
        <f t="shared" si="233"/>
        <v>4500800</v>
      </c>
      <c r="AA933" s="68"/>
      <c r="AB933" s="68">
        <v>0</v>
      </c>
      <c r="AC933" s="69">
        <f t="shared" si="234"/>
        <v>70304000</v>
      </c>
      <c r="AD933" s="70">
        <v>0</v>
      </c>
      <c r="AE933" s="63">
        <v>40396</v>
      </c>
      <c r="AF933" s="72">
        <v>39941</v>
      </c>
      <c r="AG933" s="63" t="s">
        <v>954</v>
      </c>
      <c r="AH933" s="23" t="s">
        <v>955</v>
      </c>
      <c r="AI933" s="60"/>
      <c r="AJ933" s="158" t="s">
        <v>1543</v>
      </c>
      <c r="AK933" s="73" t="s">
        <v>2028</v>
      </c>
      <c r="AL933" s="3"/>
      <c r="AM933" s="4"/>
      <c r="AN933" s="5"/>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v>3</v>
      </c>
      <c r="BY933" s="4">
        <f>3*510400</f>
        <v>1531200</v>
      </c>
      <c r="BZ933" s="4"/>
      <c r="CA933" s="4"/>
      <c r="CB933" s="4"/>
      <c r="CC933" s="4"/>
      <c r="CD933" s="4"/>
      <c r="CE933" s="4"/>
      <c r="CF933" s="4"/>
      <c r="CG933" s="4"/>
      <c r="CH933" s="4"/>
      <c r="CI933" s="4"/>
      <c r="CJ933" s="4"/>
      <c r="CK933" s="4"/>
      <c r="CL933" s="4">
        <v>624</v>
      </c>
      <c r="CM933" s="4">
        <f>624*18000</f>
        <v>11232000</v>
      </c>
      <c r="CN933" s="6"/>
      <c r="CO933" s="7"/>
      <c r="CP933" s="6"/>
      <c r="CQ933" s="7"/>
      <c r="CR933" s="6"/>
      <c r="CS933" s="7"/>
      <c r="CT933" s="8">
        <f t="shared" si="235"/>
        <v>12763200</v>
      </c>
      <c r="CU933" s="9">
        <v>5000</v>
      </c>
      <c r="CV933" s="10">
        <f>5000*900.16</f>
        <v>4500800</v>
      </c>
      <c r="CW933" s="11">
        <v>624</v>
      </c>
      <c r="CX933" s="12">
        <f>624*85000</f>
        <v>53040000</v>
      </c>
      <c r="CY933" s="26"/>
      <c r="CZ933" s="12"/>
      <c r="DA933" s="9"/>
      <c r="DB933" s="10"/>
      <c r="DC933" s="64"/>
      <c r="DD933" s="22"/>
    </row>
    <row r="934" spans="1:108" s="119" customFormat="1" ht="72" outlineLevel="2">
      <c r="A934" s="178">
        <v>40391</v>
      </c>
      <c r="B934" s="82" t="s">
        <v>1477</v>
      </c>
      <c r="C934" s="82" t="s">
        <v>1518</v>
      </c>
      <c r="D934" s="165" t="s">
        <v>1262</v>
      </c>
      <c r="E934" s="167"/>
      <c r="F934" s="66"/>
      <c r="G934" s="66"/>
      <c r="H934" s="66">
        <v>7000</v>
      </c>
      <c r="I934" s="66">
        <v>1400</v>
      </c>
      <c r="J934" s="66"/>
      <c r="K934" s="66">
        <v>1400</v>
      </c>
      <c r="L934" s="66"/>
      <c r="M934" s="66"/>
      <c r="N934" s="66"/>
      <c r="O934" s="66"/>
      <c r="P934" s="66"/>
      <c r="Q934" s="66"/>
      <c r="R934" s="66">
        <v>1</v>
      </c>
      <c r="S934" s="66"/>
      <c r="T934" s="67"/>
      <c r="U934" s="151"/>
      <c r="V934" s="1">
        <v>40458</v>
      </c>
      <c r="W934" s="68">
        <f t="shared" si="230"/>
        <v>11431200</v>
      </c>
      <c r="X934" s="68">
        <f t="shared" si="231"/>
        <v>55250000</v>
      </c>
      <c r="Y934" s="68">
        <f t="shared" si="232"/>
        <v>0</v>
      </c>
      <c r="Z934" s="68">
        <f t="shared" si="233"/>
        <v>2700480</v>
      </c>
      <c r="AA934" s="68"/>
      <c r="AB934" s="68">
        <v>0</v>
      </c>
      <c r="AC934" s="69">
        <f t="shared" si="234"/>
        <v>69381680</v>
      </c>
      <c r="AD934" s="70">
        <v>85000000</v>
      </c>
      <c r="AE934" s="63">
        <v>40396</v>
      </c>
      <c r="AF934" s="72">
        <v>39941</v>
      </c>
      <c r="AG934" s="63" t="s">
        <v>954</v>
      </c>
      <c r="AH934" s="23" t="s">
        <v>955</v>
      </c>
      <c r="AI934" s="60">
        <v>21211</v>
      </c>
      <c r="AJ934" s="158" t="s">
        <v>202</v>
      </c>
      <c r="AK934" s="73" t="s">
        <v>2005</v>
      </c>
      <c r="AL934" s="3"/>
      <c r="AM934" s="4"/>
      <c r="AN934" s="5"/>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v>3</v>
      </c>
      <c r="BY934" s="4">
        <f>3*510400</f>
        <v>1531200</v>
      </c>
      <c r="BZ934" s="4"/>
      <c r="CA934" s="4"/>
      <c r="CB934" s="4"/>
      <c r="CC934" s="4"/>
      <c r="CD934" s="4"/>
      <c r="CE934" s="4"/>
      <c r="CF934" s="4"/>
      <c r="CG934" s="4"/>
      <c r="CH934" s="4"/>
      <c r="CI934" s="4"/>
      <c r="CJ934" s="4"/>
      <c r="CK934" s="4"/>
      <c r="CL934" s="4">
        <v>550</v>
      </c>
      <c r="CM934" s="4">
        <f>550*18000</f>
        <v>9900000</v>
      </c>
      <c r="CN934" s="6"/>
      <c r="CO934" s="7"/>
      <c r="CP934" s="6"/>
      <c r="CQ934" s="7"/>
      <c r="CR934" s="6"/>
      <c r="CS934" s="7"/>
      <c r="CT934" s="8">
        <f t="shared" si="235"/>
        <v>11431200</v>
      </c>
      <c r="CU934" s="9">
        <v>3000</v>
      </c>
      <c r="CV934" s="10">
        <f>3000*900.16</f>
        <v>2700480</v>
      </c>
      <c r="CW934" s="11">
        <f>1200-550</f>
        <v>650</v>
      </c>
      <c r="CX934" s="12">
        <f>1200*85000-550*85000</f>
        <v>55250000</v>
      </c>
      <c r="CY934" s="26"/>
      <c r="CZ934" s="12"/>
      <c r="DA934" s="9"/>
      <c r="DB934" s="10"/>
      <c r="DC934" s="64"/>
      <c r="DD934" s="22"/>
    </row>
    <row r="935" spans="1:108" s="119" customFormat="1" ht="108" outlineLevel="2">
      <c r="A935" s="178">
        <v>40391</v>
      </c>
      <c r="B935" s="82" t="s">
        <v>1477</v>
      </c>
      <c r="C935" s="82" t="s">
        <v>2031</v>
      </c>
      <c r="D935" s="165" t="s">
        <v>1262</v>
      </c>
      <c r="E935" s="167"/>
      <c r="F935" s="66"/>
      <c r="G935" s="66"/>
      <c r="H935" s="66">
        <v>6280</v>
      </c>
      <c r="I935" s="66">
        <v>1256</v>
      </c>
      <c r="J935" s="66"/>
      <c r="K935" s="66">
        <v>1256</v>
      </c>
      <c r="L935" s="66"/>
      <c r="M935" s="66"/>
      <c r="N935" s="66"/>
      <c r="O935" s="66"/>
      <c r="P935" s="66"/>
      <c r="Q935" s="66"/>
      <c r="R935" s="66">
        <v>1</v>
      </c>
      <c r="S935" s="66"/>
      <c r="T935" s="67"/>
      <c r="U935" s="151"/>
      <c r="V935" s="1">
        <v>40504</v>
      </c>
      <c r="W935" s="68">
        <f t="shared" si="230"/>
        <v>82401481.799999997</v>
      </c>
      <c r="X935" s="68">
        <f t="shared" si="231"/>
        <v>46750000</v>
      </c>
      <c r="Y935" s="68">
        <f t="shared" si="232"/>
        <v>0</v>
      </c>
      <c r="Z935" s="68">
        <f t="shared" si="233"/>
        <v>1800320</v>
      </c>
      <c r="AA935" s="68">
        <v>54288000</v>
      </c>
      <c r="AB935" s="68">
        <v>100823920</v>
      </c>
      <c r="AC935" s="69">
        <f t="shared" si="234"/>
        <v>286063721.80000001</v>
      </c>
      <c r="AD935" s="70">
        <f>59890000-550*85000-9900000-1020800-1800320+157700000</f>
        <v>158118880</v>
      </c>
      <c r="AE935" s="63">
        <v>40396</v>
      </c>
      <c r="AF935" s="72">
        <v>39941</v>
      </c>
      <c r="AG935" s="63" t="s">
        <v>954</v>
      </c>
      <c r="AH935" s="23" t="s">
        <v>955</v>
      </c>
      <c r="AI935" s="60">
        <v>44002</v>
      </c>
      <c r="AJ935" s="158" t="s">
        <v>1543</v>
      </c>
      <c r="AK935" s="73" t="s">
        <v>696</v>
      </c>
      <c r="AL935" s="3"/>
      <c r="AM935" s="4"/>
      <c r="AN935" s="5"/>
      <c r="AO935" s="4"/>
      <c r="AP935" s="4"/>
      <c r="AQ935" s="4"/>
      <c r="AR935" s="4"/>
      <c r="AS935" s="4"/>
      <c r="AT935" s="4"/>
      <c r="AU935" s="4"/>
      <c r="AV935" s="4"/>
      <c r="AW935" s="4"/>
      <c r="AX935" s="4">
        <v>700</v>
      </c>
      <c r="AY935" s="4">
        <f>700*56000</f>
        <v>39200000</v>
      </c>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f>2+5</f>
        <v>7</v>
      </c>
      <c r="BY935" s="4">
        <f>2*510400+5*450000</f>
        <v>3270800</v>
      </c>
      <c r="BZ935" s="4"/>
      <c r="CA935" s="4"/>
      <c r="CB935" s="4"/>
      <c r="CC935" s="4"/>
      <c r="CD935" s="4"/>
      <c r="CE935" s="4"/>
      <c r="CF935" s="4"/>
      <c r="CG935" s="4"/>
      <c r="CH935" s="4">
        <v>700</v>
      </c>
      <c r="CI935" s="4">
        <f>700*21000</f>
        <v>14700000</v>
      </c>
      <c r="CJ935" s="4"/>
      <c r="CK935" s="4"/>
      <c r="CL935" s="4">
        <v>550</v>
      </c>
      <c r="CM935" s="4">
        <f>550*18000</f>
        <v>9900000</v>
      </c>
      <c r="CN935" s="6"/>
      <c r="CO935" s="7"/>
      <c r="CP935" s="6">
        <v>1</v>
      </c>
      <c r="CQ935" s="7">
        <f>3*500000.6+13830680</f>
        <v>15330681.800000001</v>
      </c>
      <c r="CR935" s="6"/>
      <c r="CS935" s="7"/>
      <c r="CT935" s="8">
        <f t="shared" si="235"/>
        <v>82401481.799999997</v>
      </c>
      <c r="CU935" s="9">
        <v>2000</v>
      </c>
      <c r="CV935" s="10">
        <f>2000*900.16</f>
        <v>1800320</v>
      </c>
      <c r="CW935" s="11">
        <v>550</v>
      </c>
      <c r="CX935" s="12">
        <f>550*85000</f>
        <v>46750000</v>
      </c>
      <c r="CY935" s="26"/>
      <c r="CZ935" s="12"/>
      <c r="DA935" s="9"/>
      <c r="DB935" s="10"/>
      <c r="DC935" s="64">
        <v>2</v>
      </c>
      <c r="DD935" s="186" t="s">
        <v>2339</v>
      </c>
    </row>
    <row r="936" spans="1:108" s="119" customFormat="1" ht="60" outlineLevel="2">
      <c r="A936" s="178">
        <v>40391</v>
      </c>
      <c r="B936" s="82" t="s">
        <v>1477</v>
      </c>
      <c r="C936" s="82" t="s">
        <v>2024</v>
      </c>
      <c r="D936" s="165" t="s">
        <v>1262</v>
      </c>
      <c r="E936" s="167"/>
      <c r="F936" s="66"/>
      <c r="G936" s="66"/>
      <c r="H936" s="66">
        <v>6000</v>
      </c>
      <c r="I936" s="66">
        <v>1200</v>
      </c>
      <c r="J936" s="66"/>
      <c r="K936" s="66">
        <v>1200</v>
      </c>
      <c r="L936" s="66"/>
      <c r="M936" s="66"/>
      <c r="N936" s="66"/>
      <c r="O936" s="66"/>
      <c r="P936" s="66"/>
      <c r="Q936" s="66"/>
      <c r="R936" s="66">
        <v>1</v>
      </c>
      <c r="S936" s="66"/>
      <c r="T936" s="67"/>
      <c r="U936" s="151"/>
      <c r="V936" s="1"/>
      <c r="W936" s="68">
        <f t="shared" si="230"/>
        <v>13897200</v>
      </c>
      <c r="X936" s="68">
        <f t="shared" si="231"/>
        <v>58395000</v>
      </c>
      <c r="Y936" s="68">
        <f t="shared" si="232"/>
        <v>0</v>
      </c>
      <c r="Z936" s="68">
        <f t="shared" si="233"/>
        <v>4500800</v>
      </c>
      <c r="AA936" s="68"/>
      <c r="AB936" s="68">
        <v>0</v>
      </c>
      <c r="AC936" s="69">
        <f t="shared" si="234"/>
        <v>76793000</v>
      </c>
      <c r="AD936" s="70">
        <v>155350000</v>
      </c>
      <c r="AE936" s="63">
        <v>40396</v>
      </c>
      <c r="AF936" s="72">
        <v>39941</v>
      </c>
      <c r="AG936" s="63" t="s">
        <v>954</v>
      </c>
      <c r="AH936" s="23" t="s">
        <v>955</v>
      </c>
      <c r="AI936" s="60"/>
      <c r="AJ936" s="158" t="s">
        <v>1543</v>
      </c>
      <c r="AK936" s="73" t="s">
        <v>2006</v>
      </c>
      <c r="AL936" s="3"/>
      <c r="AM936" s="4"/>
      <c r="AN936" s="5"/>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v>3</v>
      </c>
      <c r="BY936" s="4">
        <f>3*510400</f>
        <v>1531200</v>
      </c>
      <c r="BZ936" s="4"/>
      <c r="CA936" s="4"/>
      <c r="CB936" s="4"/>
      <c r="CC936" s="4"/>
      <c r="CD936" s="4"/>
      <c r="CE936" s="4"/>
      <c r="CF936" s="4"/>
      <c r="CG936" s="4"/>
      <c r="CH936" s="4"/>
      <c r="CI936" s="4"/>
      <c r="CJ936" s="4"/>
      <c r="CK936" s="4"/>
      <c r="CL936" s="4">
        <v>687</v>
      </c>
      <c r="CM936" s="4">
        <f>687*18000</f>
        <v>12366000</v>
      </c>
      <c r="CN936" s="6"/>
      <c r="CO936" s="7"/>
      <c r="CP936" s="6"/>
      <c r="CQ936" s="7"/>
      <c r="CR936" s="6"/>
      <c r="CS936" s="7"/>
      <c r="CT936" s="8">
        <f t="shared" si="235"/>
        <v>13897200</v>
      </c>
      <c r="CU936" s="9">
        <v>5000</v>
      </c>
      <c r="CV936" s="10">
        <f>5000*900.16</f>
        <v>4500800</v>
      </c>
      <c r="CW936" s="11">
        <v>687</v>
      </c>
      <c r="CX936" s="12">
        <f>687*85000</f>
        <v>58395000</v>
      </c>
      <c r="CY936" s="26"/>
      <c r="CZ936" s="12"/>
      <c r="DA936" s="9"/>
      <c r="DB936" s="10"/>
      <c r="DC936" s="64"/>
      <c r="DD936" s="22"/>
    </row>
    <row r="937" spans="1:108" s="119" customFormat="1" ht="36" outlineLevel="2">
      <c r="A937" s="178">
        <v>40391</v>
      </c>
      <c r="B937" s="82" t="s">
        <v>1477</v>
      </c>
      <c r="C937" s="82" t="s">
        <v>1675</v>
      </c>
      <c r="D937" s="165" t="s">
        <v>1262</v>
      </c>
      <c r="E937" s="167"/>
      <c r="F937" s="66"/>
      <c r="G937" s="66"/>
      <c r="H937" s="66">
        <v>225</v>
      </c>
      <c r="I937" s="66">
        <v>45</v>
      </c>
      <c r="J937" s="66"/>
      <c r="K937" s="66">
        <v>45</v>
      </c>
      <c r="L937" s="66"/>
      <c r="M937" s="66"/>
      <c r="N937" s="66"/>
      <c r="O937" s="66"/>
      <c r="P937" s="66"/>
      <c r="Q937" s="66"/>
      <c r="R937" s="66"/>
      <c r="S937" s="66"/>
      <c r="T937" s="67">
        <v>20</v>
      </c>
      <c r="U937" s="151" t="s">
        <v>414</v>
      </c>
      <c r="V937" s="1"/>
      <c r="W937" s="68">
        <f t="shared" si="230"/>
        <v>0</v>
      </c>
      <c r="X937" s="68">
        <f t="shared" si="231"/>
        <v>0</v>
      </c>
      <c r="Y937" s="68">
        <f t="shared" si="232"/>
        <v>0</v>
      </c>
      <c r="Z937" s="68">
        <f t="shared" si="233"/>
        <v>0</v>
      </c>
      <c r="AA937" s="68"/>
      <c r="AB937" s="68">
        <v>0</v>
      </c>
      <c r="AC937" s="69">
        <f t="shared" si="234"/>
        <v>0</v>
      </c>
      <c r="AD937" s="70">
        <v>0</v>
      </c>
      <c r="AE937" s="63">
        <v>40413</v>
      </c>
      <c r="AF937" s="72"/>
      <c r="AG937" s="63" t="s">
        <v>938</v>
      </c>
      <c r="AH937" s="23" t="s">
        <v>939</v>
      </c>
      <c r="AI937" s="60"/>
      <c r="AJ937" s="133" t="s">
        <v>1608</v>
      </c>
      <c r="AK937" s="73" t="s">
        <v>2094</v>
      </c>
      <c r="AL937" s="3"/>
      <c r="AM937" s="4"/>
      <c r="AN937" s="5"/>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6"/>
      <c r="CO937" s="7"/>
      <c r="CP937" s="6"/>
      <c r="CQ937" s="7"/>
      <c r="CR937" s="6"/>
      <c r="CS937" s="7"/>
      <c r="CT937" s="8">
        <f t="shared" si="235"/>
        <v>0</v>
      </c>
      <c r="CU937" s="9"/>
      <c r="CV937" s="10"/>
      <c r="CW937" s="11"/>
      <c r="CX937" s="12"/>
      <c r="CY937" s="26"/>
      <c r="CZ937" s="12"/>
      <c r="DA937" s="9"/>
      <c r="DB937" s="10"/>
      <c r="DC937" s="64"/>
      <c r="DD937" s="22"/>
    </row>
    <row r="938" spans="1:108" s="119" customFormat="1" ht="45" outlineLevel="2">
      <c r="A938" s="180">
        <v>40396</v>
      </c>
      <c r="B938" s="82" t="s">
        <v>1477</v>
      </c>
      <c r="C938" s="82" t="s">
        <v>1437</v>
      </c>
      <c r="D938" s="165" t="s">
        <v>1262</v>
      </c>
      <c r="E938" s="167"/>
      <c r="F938" s="66"/>
      <c r="G938" s="66"/>
      <c r="H938" s="66">
        <f>940*5</f>
        <v>4700</v>
      </c>
      <c r="I938" s="66">
        <v>940</v>
      </c>
      <c r="J938" s="66"/>
      <c r="K938" s="66">
        <v>940</v>
      </c>
      <c r="L938" s="66"/>
      <c r="M938" s="66"/>
      <c r="N938" s="66"/>
      <c r="O938" s="66"/>
      <c r="P938" s="66"/>
      <c r="Q938" s="66"/>
      <c r="R938" s="66"/>
      <c r="S938" s="66"/>
      <c r="T938" s="67">
        <v>900</v>
      </c>
      <c r="U938" s="151" t="s">
        <v>1676</v>
      </c>
      <c r="V938" s="89"/>
      <c r="W938" s="90">
        <f t="shared" si="230"/>
        <v>14131200</v>
      </c>
      <c r="X938" s="90">
        <f t="shared" si="231"/>
        <v>59500000</v>
      </c>
      <c r="Y938" s="90">
        <f t="shared" si="232"/>
        <v>0</v>
      </c>
      <c r="Z938" s="90">
        <f t="shared" si="233"/>
        <v>2700480</v>
      </c>
      <c r="AA938" s="90"/>
      <c r="AB938" s="90">
        <v>0</v>
      </c>
      <c r="AC938" s="91">
        <f t="shared" si="234"/>
        <v>76331680</v>
      </c>
      <c r="AD938" s="92">
        <v>257350000</v>
      </c>
      <c r="AE938" s="63">
        <v>40413</v>
      </c>
      <c r="AF938" s="72">
        <v>52364</v>
      </c>
      <c r="AG938" s="63" t="s">
        <v>954</v>
      </c>
      <c r="AH938" s="23" t="s">
        <v>955</v>
      </c>
      <c r="AI938" s="60"/>
      <c r="AJ938" s="133" t="s">
        <v>415</v>
      </c>
      <c r="AK938" s="73" t="s">
        <v>2093</v>
      </c>
      <c r="AL938" s="93"/>
      <c r="AM938" s="94"/>
      <c r="AN938" s="95"/>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c r="BV938" s="94"/>
      <c r="BW938" s="94"/>
      <c r="BX938" s="94">
        <v>3</v>
      </c>
      <c r="BY938" s="94">
        <f>3*510400</f>
        <v>1531200</v>
      </c>
      <c r="BZ938" s="94"/>
      <c r="CA938" s="94"/>
      <c r="CB938" s="94"/>
      <c r="CC938" s="94"/>
      <c r="CD938" s="94"/>
      <c r="CE938" s="94"/>
      <c r="CF938" s="94"/>
      <c r="CG938" s="94"/>
      <c r="CH938" s="94"/>
      <c r="CI938" s="94"/>
      <c r="CJ938" s="94"/>
      <c r="CK938" s="94"/>
      <c r="CL938" s="94">
        <v>700</v>
      </c>
      <c r="CM938" s="94">
        <f>700*18000</f>
        <v>12600000</v>
      </c>
      <c r="CN938" s="96"/>
      <c r="CO938" s="97"/>
      <c r="CP938" s="96"/>
      <c r="CQ938" s="97"/>
      <c r="CR938" s="96"/>
      <c r="CS938" s="97"/>
      <c r="CT938" s="98">
        <f t="shared" si="235"/>
        <v>14131200</v>
      </c>
      <c r="CU938" s="99">
        <v>3000</v>
      </c>
      <c r="CV938" s="100">
        <f>3000*900.16</f>
        <v>2700480</v>
      </c>
      <c r="CW938" s="101">
        <v>700</v>
      </c>
      <c r="CX938" s="102">
        <f>700*85000</f>
        <v>59500000</v>
      </c>
      <c r="CY938" s="103"/>
      <c r="CZ938" s="102"/>
      <c r="DA938" s="99"/>
      <c r="DB938" s="100"/>
      <c r="DC938" s="64"/>
      <c r="DD938" s="104"/>
    </row>
    <row r="939" spans="1:108" s="119" customFormat="1" ht="72" outlineLevel="2">
      <c r="A939" s="178">
        <v>40396</v>
      </c>
      <c r="B939" s="82" t="s">
        <v>1477</v>
      </c>
      <c r="C939" s="82" t="s">
        <v>1502</v>
      </c>
      <c r="D939" s="165" t="s">
        <v>1262</v>
      </c>
      <c r="E939" s="167"/>
      <c r="F939" s="66"/>
      <c r="G939" s="87" t="s">
        <v>1263</v>
      </c>
      <c r="H939" s="66">
        <f>2230*5</f>
        <v>11150</v>
      </c>
      <c r="I939" s="66">
        <v>2330</v>
      </c>
      <c r="J939" s="66"/>
      <c r="K939" s="66">
        <v>2330</v>
      </c>
      <c r="L939" s="66"/>
      <c r="M939" s="66"/>
      <c r="N939" s="66"/>
      <c r="O939" s="87"/>
      <c r="P939" s="66"/>
      <c r="Q939" s="66"/>
      <c r="R939" s="66">
        <v>6</v>
      </c>
      <c r="S939" s="66"/>
      <c r="T939" s="67"/>
      <c r="U939" s="151"/>
      <c r="V939" s="1">
        <v>40448</v>
      </c>
      <c r="W939" s="68">
        <f t="shared" si="230"/>
        <v>97099200</v>
      </c>
      <c r="X939" s="68">
        <f t="shared" si="231"/>
        <v>317050000</v>
      </c>
      <c r="Y939" s="68">
        <f t="shared" si="232"/>
        <v>0</v>
      </c>
      <c r="Z939" s="68">
        <f t="shared" si="233"/>
        <v>3600640</v>
      </c>
      <c r="AA939" s="68">
        <v>64280000</v>
      </c>
      <c r="AB939" s="68">
        <v>0</v>
      </c>
      <c r="AC939" s="69">
        <f t="shared" si="234"/>
        <v>482029840</v>
      </c>
      <c r="AD939" s="70">
        <v>87350000</v>
      </c>
      <c r="AE939" s="63">
        <v>40399</v>
      </c>
      <c r="AF939" s="72">
        <v>39941</v>
      </c>
      <c r="AG939" s="63" t="s">
        <v>954</v>
      </c>
      <c r="AH939" s="23" t="s">
        <v>955</v>
      </c>
      <c r="AI939" s="75" t="s">
        <v>1834</v>
      </c>
      <c r="AJ939" s="158" t="s">
        <v>1543</v>
      </c>
      <c r="AK939" s="73" t="s">
        <v>1835</v>
      </c>
      <c r="AL939" s="3"/>
      <c r="AM939" s="4"/>
      <c r="AN939" s="5"/>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v>3</v>
      </c>
      <c r="BY939" s="4">
        <f>3*510400</f>
        <v>1531200</v>
      </c>
      <c r="BZ939" s="4"/>
      <c r="CA939" s="4"/>
      <c r="CB939" s="4"/>
      <c r="CC939" s="4"/>
      <c r="CD939" s="4"/>
      <c r="CE939" s="4"/>
      <c r="CF939" s="4"/>
      <c r="CG939" s="4"/>
      <c r="CH939" s="4"/>
      <c r="CI939" s="4"/>
      <c r="CJ939" s="4"/>
      <c r="CK939" s="4"/>
      <c r="CL939" s="4">
        <v>2230</v>
      </c>
      <c r="CM939" s="4">
        <f>2230*18000</f>
        <v>40140000</v>
      </c>
      <c r="CN939" s="6">
        <v>1500</v>
      </c>
      <c r="CO939" s="7">
        <f>1500*36952</f>
        <v>55428000</v>
      </c>
      <c r="CP939" s="6"/>
      <c r="CQ939" s="7"/>
      <c r="CR939" s="6"/>
      <c r="CS939" s="7"/>
      <c r="CT939" s="8">
        <f t="shared" si="235"/>
        <v>97099200</v>
      </c>
      <c r="CU939" s="9">
        <v>4000</v>
      </c>
      <c r="CV939" s="10">
        <f>4000*900.16</f>
        <v>3600640</v>
      </c>
      <c r="CW939" s="11">
        <f>1500+2230</f>
        <v>3730</v>
      </c>
      <c r="CX939" s="12">
        <f>1500*85000+2230*85000</f>
        <v>317050000</v>
      </c>
      <c r="CY939" s="26"/>
      <c r="CZ939" s="12"/>
      <c r="DA939" s="9"/>
      <c r="DB939" s="10"/>
      <c r="DC939" s="64"/>
      <c r="DD939" s="22">
        <v>1204</v>
      </c>
    </row>
    <row r="940" spans="1:108" s="119" customFormat="1" ht="48" outlineLevel="2">
      <c r="A940" s="178">
        <v>40396</v>
      </c>
      <c r="B940" s="82" t="s">
        <v>1477</v>
      </c>
      <c r="C940" s="82" t="s">
        <v>1503</v>
      </c>
      <c r="D940" s="165" t="s">
        <v>1262</v>
      </c>
      <c r="E940" s="167"/>
      <c r="F940" s="66"/>
      <c r="G940" s="66"/>
      <c r="H940" s="66">
        <v>4405</v>
      </c>
      <c r="I940" s="66">
        <f>900-19</f>
        <v>881</v>
      </c>
      <c r="J940" s="66"/>
      <c r="K940" s="66">
        <v>881</v>
      </c>
      <c r="L940" s="66"/>
      <c r="M940" s="66"/>
      <c r="N940" s="66"/>
      <c r="O940" s="66"/>
      <c r="P940" s="66"/>
      <c r="Q940" s="66"/>
      <c r="R940" s="66">
        <v>3</v>
      </c>
      <c r="S940" s="66"/>
      <c r="T940" s="67">
        <v>205</v>
      </c>
      <c r="U940" s="151" t="s">
        <v>1676</v>
      </c>
      <c r="V940" s="1"/>
      <c r="W940" s="68">
        <f t="shared" si="230"/>
        <v>10020800</v>
      </c>
      <c r="X940" s="68">
        <f t="shared" si="231"/>
        <v>42500000</v>
      </c>
      <c r="Y940" s="68">
        <f t="shared" si="232"/>
        <v>0</v>
      </c>
      <c r="Z940" s="68">
        <f t="shared" si="233"/>
        <v>4500800</v>
      </c>
      <c r="AA940" s="68"/>
      <c r="AB940" s="68">
        <v>0</v>
      </c>
      <c r="AC940" s="69">
        <f t="shared" si="234"/>
        <v>57021600</v>
      </c>
      <c r="AD940" s="70">
        <v>87350000</v>
      </c>
      <c r="AE940" s="63">
        <v>40399</v>
      </c>
      <c r="AF940" s="72">
        <v>39941</v>
      </c>
      <c r="AG940" s="63" t="s">
        <v>954</v>
      </c>
      <c r="AH940" s="23" t="s">
        <v>955</v>
      </c>
      <c r="AI940" s="60"/>
      <c r="AJ940" s="158" t="s">
        <v>1543</v>
      </c>
      <c r="AK940" s="73" t="s">
        <v>2004</v>
      </c>
      <c r="AL940" s="3"/>
      <c r="AM940" s="4"/>
      <c r="AN940" s="5"/>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v>2</v>
      </c>
      <c r="BY940" s="4">
        <f>2*510400</f>
        <v>1020800</v>
      </c>
      <c r="BZ940" s="4"/>
      <c r="CA940" s="4"/>
      <c r="CB940" s="4"/>
      <c r="CC940" s="4"/>
      <c r="CD940" s="4"/>
      <c r="CE940" s="4"/>
      <c r="CF940" s="4"/>
      <c r="CG940" s="4"/>
      <c r="CH940" s="4"/>
      <c r="CI940" s="4"/>
      <c r="CJ940" s="4"/>
      <c r="CK940" s="4"/>
      <c r="CL940" s="4">
        <v>500</v>
      </c>
      <c r="CM940" s="4">
        <f>500*18000</f>
        <v>9000000</v>
      </c>
      <c r="CN940" s="6"/>
      <c r="CO940" s="7"/>
      <c r="CP940" s="6"/>
      <c r="CQ940" s="7"/>
      <c r="CR940" s="6"/>
      <c r="CS940" s="7"/>
      <c r="CT940" s="8">
        <f t="shared" si="235"/>
        <v>10020800</v>
      </c>
      <c r="CU940" s="9">
        <v>5000</v>
      </c>
      <c r="CV940" s="10">
        <f>5000*900.16</f>
        <v>4500800</v>
      </c>
      <c r="CW940" s="11">
        <v>500</v>
      </c>
      <c r="CX940" s="12">
        <f>500*85000</f>
        <v>42500000</v>
      </c>
      <c r="CY940" s="26"/>
      <c r="CZ940" s="12"/>
      <c r="DA940" s="9"/>
      <c r="DB940" s="10"/>
      <c r="DC940" s="64"/>
      <c r="DD940" s="22"/>
    </row>
    <row r="941" spans="1:108" s="119" customFormat="1" ht="22.5" outlineLevel="2">
      <c r="A941" s="178">
        <v>40397</v>
      </c>
      <c r="B941" s="82" t="s">
        <v>1477</v>
      </c>
      <c r="C941" s="82" t="s">
        <v>2038</v>
      </c>
      <c r="D941" s="165" t="s">
        <v>944</v>
      </c>
      <c r="E941" s="167">
        <v>1</v>
      </c>
      <c r="F941" s="66"/>
      <c r="G941" s="66"/>
      <c r="H941" s="66"/>
      <c r="I941" s="66"/>
      <c r="J941" s="66"/>
      <c r="K941" s="66"/>
      <c r="L941" s="66"/>
      <c r="M941" s="66"/>
      <c r="N941" s="66"/>
      <c r="O941" s="66"/>
      <c r="P941" s="66"/>
      <c r="Q941" s="66"/>
      <c r="R941" s="66"/>
      <c r="S941" s="66"/>
      <c r="T941" s="67"/>
      <c r="U941" s="151"/>
      <c r="V941" s="1"/>
      <c r="W941" s="68">
        <f t="shared" si="230"/>
        <v>0</v>
      </c>
      <c r="X941" s="68">
        <f t="shared" si="231"/>
        <v>0</v>
      </c>
      <c r="Y941" s="68">
        <f t="shared" si="232"/>
        <v>0</v>
      </c>
      <c r="Z941" s="68">
        <f t="shared" si="233"/>
        <v>0</v>
      </c>
      <c r="AA941" s="68"/>
      <c r="AB941" s="68">
        <v>0</v>
      </c>
      <c r="AC941" s="69">
        <f t="shared" si="234"/>
        <v>0</v>
      </c>
      <c r="AD941" s="70">
        <v>0</v>
      </c>
      <c r="AE941" s="63">
        <v>40400</v>
      </c>
      <c r="AF941" s="72"/>
      <c r="AG941" s="63" t="s">
        <v>938</v>
      </c>
      <c r="AH941" s="23" t="s">
        <v>939</v>
      </c>
      <c r="AI941" s="60"/>
      <c r="AJ941" s="133" t="s">
        <v>1608</v>
      </c>
      <c r="AK941" s="73" t="s">
        <v>2047</v>
      </c>
      <c r="AL941" s="3"/>
      <c r="AM941" s="4"/>
      <c r="AN941" s="5"/>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6"/>
      <c r="CO941" s="7"/>
      <c r="CP941" s="6"/>
      <c r="CQ941" s="7"/>
      <c r="CR941" s="6"/>
      <c r="CS941" s="7"/>
      <c r="CT941" s="8">
        <f t="shared" si="235"/>
        <v>0</v>
      </c>
      <c r="CU941" s="9"/>
      <c r="CV941" s="10"/>
      <c r="CW941" s="11"/>
      <c r="CX941" s="12"/>
      <c r="CY941" s="26"/>
      <c r="CZ941" s="12"/>
      <c r="DA941" s="9"/>
      <c r="DB941" s="10"/>
      <c r="DC941" s="64"/>
      <c r="DD941" s="22"/>
    </row>
    <row r="942" spans="1:108" s="119" customFormat="1" ht="56.25" outlineLevel="2">
      <c r="A942" s="178">
        <v>40400</v>
      </c>
      <c r="B942" s="82" t="s">
        <v>1477</v>
      </c>
      <c r="C942" s="82" t="s">
        <v>953</v>
      </c>
      <c r="D942" s="165" t="s">
        <v>1262</v>
      </c>
      <c r="E942" s="167"/>
      <c r="F942" s="66"/>
      <c r="G942" s="66"/>
      <c r="H942" s="66"/>
      <c r="I942" s="66"/>
      <c r="J942" s="66"/>
      <c r="K942" s="66"/>
      <c r="L942" s="66"/>
      <c r="M942" s="66"/>
      <c r="N942" s="66"/>
      <c r="O942" s="66"/>
      <c r="P942" s="66"/>
      <c r="Q942" s="66"/>
      <c r="R942" s="66"/>
      <c r="S942" s="66"/>
      <c r="T942" s="67"/>
      <c r="U942" s="151"/>
      <c r="V942" s="1">
        <v>40414</v>
      </c>
      <c r="W942" s="68">
        <f t="shared" si="230"/>
        <v>233067720</v>
      </c>
      <c r="X942" s="68">
        <f t="shared" si="231"/>
        <v>255000000</v>
      </c>
      <c r="Y942" s="68">
        <f t="shared" si="232"/>
        <v>0</v>
      </c>
      <c r="Z942" s="68">
        <f t="shared" si="233"/>
        <v>90480000</v>
      </c>
      <c r="AA942" s="68"/>
      <c r="AB942" s="68">
        <v>0</v>
      </c>
      <c r="AC942" s="69">
        <f t="shared" si="234"/>
        <v>578547720</v>
      </c>
      <c r="AD942" s="70">
        <v>0</v>
      </c>
      <c r="AE942" s="63">
        <v>40400</v>
      </c>
      <c r="AF942" s="79" t="s">
        <v>1544</v>
      </c>
      <c r="AG942" s="63" t="s">
        <v>954</v>
      </c>
      <c r="AH942" s="23" t="s">
        <v>955</v>
      </c>
      <c r="AI942" s="75" t="s">
        <v>2277</v>
      </c>
      <c r="AJ942" s="133" t="s">
        <v>1540</v>
      </c>
      <c r="AK942" s="73" t="s">
        <v>1541</v>
      </c>
      <c r="AL942" s="3"/>
      <c r="AM942" s="4"/>
      <c r="AN942" s="5"/>
      <c r="AO942" s="4"/>
      <c r="AP942" s="4"/>
      <c r="AQ942" s="4"/>
      <c r="AR942" s="4"/>
      <c r="AS942" s="4"/>
      <c r="AT942" s="4"/>
      <c r="AU942" s="4"/>
      <c r="AV942" s="4"/>
      <c r="AW942" s="4"/>
      <c r="AX942" s="4"/>
      <c r="AY942" s="4"/>
      <c r="AZ942" s="4"/>
      <c r="BA942" s="4"/>
      <c r="BB942" s="4"/>
      <c r="BC942" s="4"/>
      <c r="BD942" s="4"/>
      <c r="BE942" s="4"/>
      <c r="BF942" s="4"/>
      <c r="BG942" s="4"/>
      <c r="BH942" s="4"/>
      <c r="BI942" s="4"/>
      <c r="BJ942" s="4">
        <v>3000</v>
      </c>
      <c r="BK942" s="4">
        <f>3000*25500</f>
        <v>76500000</v>
      </c>
      <c r="BL942" s="4"/>
      <c r="BM942" s="4"/>
      <c r="BN942" s="4"/>
      <c r="BO942" s="4"/>
      <c r="BP942" s="4"/>
      <c r="BQ942" s="4"/>
      <c r="BR942" s="4"/>
      <c r="BS942" s="4"/>
      <c r="BT942" s="4"/>
      <c r="BU942" s="4"/>
      <c r="BV942" s="4"/>
      <c r="BW942" s="4"/>
      <c r="BX942" s="4">
        <v>15</v>
      </c>
      <c r="BY942" s="4">
        <f>15*504600</f>
        <v>7569000</v>
      </c>
      <c r="BZ942" s="4"/>
      <c r="CA942" s="4"/>
      <c r="CB942" s="4"/>
      <c r="CC942" s="4"/>
      <c r="CD942" s="4"/>
      <c r="CE942" s="4"/>
      <c r="CF942" s="4"/>
      <c r="CG942" s="4"/>
      <c r="CH942" s="4">
        <v>1000</v>
      </c>
      <c r="CI942" s="4">
        <f>1000*21000</f>
        <v>21000000</v>
      </c>
      <c r="CJ942" s="4"/>
      <c r="CK942" s="4"/>
      <c r="CL942" s="4">
        <v>3000</v>
      </c>
      <c r="CM942" s="4">
        <f>3000*18000</f>
        <v>54000000</v>
      </c>
      <c r="CN942" s="6">
        <f>2000</f>
        <v>2000</v>
      </c>
      <c r="CO942" s="7">
        <f>2000*36999.36</f>
        <v>73998720</v>
      </c>
      <c r="CP942" s="6"/>
      <c r="CQ942" s="7"/>
      <c r="CR942" s="6"/>
      <c r="CS942" s="7"/>
      <c r="CT942" s="8">
        <f t="shared" si="235"/>
        <v>233067720</v>
      </c>
      <c r="CU942" s="9">
        <v>100000</v>
      </c>
      <c r="CV942" s="10">
        <f>100000*904.8</f>
        <v>90480000</v>
      </c>
      <c r="CW942" s="11">
        <f>2000+1000</f>
        <v>3000</v>
      </c>
      <c r="CX942" s="12">
        <f>2000*85000+1000*85000</f>
        <v>255000000</v>
      </c>
      <c r="CY942" s="26"/>
      <c r="CZ942" s="12"/>
      <c r="DA942" s="9"/>
      <c r="DB942" s="10"/>
      <c r="DC942" s="64"/>
      <c r="DD942" s="22"/>
    </row>
    <row r="943" spans="1:108" s="119" customFormat="1" ht="22.5" outlineLevel="2">
      <c r="A943" s="178">
        <v>40400</v>
      </c>
      <c r="B943" s="82" t="s">
        <v>1477</v>
      </c>
      <c r="C943" s="82" t="s">
        <v>1457</v>
      </c>
      <c r="D943" s="165" t="s">
        <v>1262</v>
      </c>
      <c r="E943" s="167"/>
      <c r="F943" s="66"/>
      <c r="G943" s="66"/>
      <c r="H943" s="66"/>
      <c r="I943" s="66"/>
      <c r="J943" s="66"/>
      <c r="K943" s="66"/>
      <c r="L943" s="66"/>
      <c r="M943" s="66"/>
      <c r="N943" s="66"/>
      <c r="O943" s="66"/>
      <c r="P943" s="66"/>
      <c r="Q943" s="66"/>
      <c r="R943" s="66"/>
      <c r="S943" s="66"/>
      <c r="T943" s="67"/>
      <c r="U943" s="151"/>
      <c r="V943" s="1">
        <v>40421</v>
      </c>
      <c r="W943" s="68">
        <f t="shared" si="230"/>
        <v>0</v>
      </c>
      <c r="X943" s="68">
        <f t="shared" si="231"/>
        <v>0</v>
      </c>
      <c r="Y943" s="68">
        <f t="shared" si="232"/>
        <v>0</v>
      </c>
      <c r="Z943" s="68">
        <f t="shared" si="233"/>
        <v>12750000</v>
      </c>
      <c r="AA943" s="68"/>
      <c r="AB943" s="68">
        <v>0</v>
      </c>
      <c r="AC943" s="69">
        <f t="shared" si="234"/>
        <v>12750000</v>
      </c>
      <c r="AD943" s="70">
        <v>0</v>
      </c>
      <c r="AE943" s="63">
        <v>40404</v>
      </c>
      <c r="AF943" s="72">
        <v>41161</v>
      </c>
      <c r="AG943" s="63" t="s">
        <v>954</v>
      </c>
      <c r="AH943" s="23" t="s">
        <v>955</v>
      </c>
      <c r="AI943" s="60">
        <v>288</v>
      </c>
      <c r="AJ943" s="133" t="s">
        <v>1533</v>
      </c>
      <c r="AK943" s="73"/>
      <c r="AL943" s="3"/>
      <c r="AM943" s="4"/>
      <c r="AN943" s="5"/>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6"/>
      <c r="CO943" s="7"/>
      <c r="CP943" s="6"/>
      <c r="CQ943" s="7"/>
      <c r="CR943" s="6"/>
      <c r="CS943" s="7"/>
      <c r="CT943" s="8">
        <f t="shared" si="235"/>
        <v>0</v>
      </c>
      <c r="CU943" s="9">
        <v>15000</v>
      </c>
      <c r="CV943" s="10">
        <f>15000*850</f>
        <v>12750000</v>
      </c>
      <c r="CW943" s="11"/>
      <c r="CX943" s="12"/>
      <c r="CY943" s="26"/>
      <c r="CZ943" s="12"/>
      <c r="DA943" s="9"/>
      <c r="DB943" s="10"/>
      <c r="DC943" s="64"/>
      <c r="DD943" s="22">
        <v>1224</v>
      </c>
    </row>
    <row r="944" spans="1:108" s="119" customFormat="1" ht="48" outlineLevel="2">
      <c r="A944" s="178">
        <v>40408</v>
      </c>
      <c r="B944" s="82" t="s">
        <v>1477</v>
      </c>
      <c r="C944" s="82" t="s">
        <v>1457</v>
      </c>
      <c r="D944" s="165" t="s">
        <v>1262</v>
      </c>
      <c r="E944" s="167"/>
      <c r="F944" s="66">
        <v>3</v>
      </c>
      <c r="G944" s="66"/>
      <c r="H944" s="66">
        <f>70*5</f>
        <v>350</v>
      </c>
      <c r="I944" s="66">
        <v>70</v>
      </c>
      <c r="J944" s="66">
        <v>3</v>
      </c>
      <c r="K944" s="66">
        <v>67</v>
      </c>
      <c r="L944" s="66"/>
      <c r="M944" s="66"/>
      <c r="N944" s="66"/>
      <c r="O944" s="66"/>
      <c r="P944" s="66"/>
      <c r="Q944" s="66"/>
      <c r="R944" s="66"/>
      <c r="S944" s="66"/>
      <c r="T944" s="67"/>
      <c r="U944" s="151"/>
      <c r="V944" s="1"/>
      <c r="W944" s="68">
        <f t="shared" si="230"/>
        <v>0</v>
      </c>
      <c r="X944" s="68">
        <f t="shared" si="231"/>
        <v>0</v>
      </c>
      <c r="Y944" s="68">
        <f t="shared" si="232"/>
        <v>0</v>
      </c>
      <c r="Z944" s="68">
        <f t="shared" si="233"/>
        <v>0</v>
      </c>
      <c r="AA944" s="68"/>
      <c r="AB944" s="68">
        <v>0</v>
      </c>
      <c r="AC944" s="69">
        <f t="shared" si="234"/>
        <v>0</v>
      </c>
      <c r="AD944" s="70">
        <v>0</v>
      </c>
      <c r="AE944" s="63">
        <v>40413</v>
      </c>
      <c r="AF944" s="72"/>
      <c r="AG944" s="63" t="s">
        <v>938</v>
      </c>
      <c r="AH944" s="23" t="s">
        <v>939</v>
      </c>
      <c r="AI944" s="60"/>
      <c r="AJ944" s="133" t="s">
        <v>1608</v>
      </c>
      <c r="AK944" s="73" t="s">
        <v>1557</v>
      </c>
      <c r="AL944" s="3"/>
      <c r="AM944" s="4"/>
      <c r="AN944" s="5"/>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6"/>
      <c r="CO944" s="7"/>
      <c r="CP944" s="6"/>
      <c r="CQ944" s="7"/>
      <c r="CR944" s="6"/>
      <c r="CS944" s="7"/>
      <c r="CT944" s="8">
        <f t="shared" si="235"/>
        <v>0</v>
      </c>
      <c r="CU944" s="9"/>
      <c r="CV944" s="10"/>
      <c r="CW944" s="11"/>
      <c r="CX944" s="12"/>
      <c r="CY944" s="26"/>
      <c r="CZ944" s="12"/>
      <c r="DA944" s="9"/>
      <c r="DB944" s="10"/>
      <c r="DC944" s="64"/>
      <c r="DD944" s="22"/>
    </row>
    <row r="945" spans="1:108" s="119" customFormat="1" ht="72" outlineLevel="2">
      <c r="A945" s="178">
        <v>40416</v>
      </c>
      <c r="B945" s="82" t="s">
        <v>1477</v>
      </c>
      <c r="C945" s="82" t="s">
        <v>1457</v>
      </c>
      <c r="D945" s="165" t="s">
        <v>1262</v>
      </c>
      <c r="E945" s="163"/>
      <c r="F945" s="105"/>
      <c r="G945" s="105"/>
      <c r="H945" s="105">
        <v>12500</v>
      </c>
      <c r="I945" s="105">
        <v>2500</v>
      </c>
      <c r="J945" s="105">
        <v>5</v>
      </c>
      <c r="K945" s="105">
        <v>2495</v>
      </c>
      <c r="L945" s="105"/>
      <c r="M945" s="105"/>
      <c r="N945" s="105"/>
      <c r="O945" s="105"/>
      <c r="P945" s="105"/>
      <c r="Q945" s="105"/>
      <c r="R945" s="105"/>
      <c r="S945" s="105"/>
      <c r="T945" s="106"/>
      <c r="U945" s="130"/>
      <c r="V945" s="1">
        <v>40443</v>
      </c>
      <c r="W945" s="68">
        <f t="shared" ref="W945:W969" si="236">CT945</f>
        <v>94500000</v>
      </c>
      <c r="X945" s="68">
        <f t="shared" ref="X945:X969" si="237">CX945</f>
        <v>0</v>
      </c>
      <c r="Y945" s="68">
        <f t="shared" ref="Y945:Y969" si="238">CZ945+DB945</f>
        <v>0</v>
      </c>
      <c r="Z945" s="68">
        <f t="shared" ref="Z945:Z969" si="239">CV945</f>
        <v>29580000</v>
      </c>
      <c r="AA945" s="68"/>
      <c r="AB945" s="68">
        <v>0</v>
      </c>
      <c r="AC945" s="69">
        <f t="shared" ref="AC945:AC969" si="240">W945+X945+Y945+Z945+AA945+AB945</f>
        <v>124080000</v>
      </c>
      <c r="AD945" s="70">
        <v>0</v>
      </c>
      <c r="AE945" s="63">
        <v>40417</v>
      </c>
      <c r="AF945" s="72">
        <v>38277</v>
      </c>
      <c r="AG945" s="63" t="s">
        <v>954</v>
      </c>
      <c r="AH945" s="23" t="s">
        <v>955</v>
      </c>
      <c r="AI945" s="75" t="s">
        <v>1320</v>
      </c>
      <c r="AJ945" s="124" t="s">
        <v>2238</v>
      </c>
      <c r="AK945" s="121" t="s">
        <v>2252</v>
      </c>
      <c r="AL945" s="107"/>
      <c r="AM945" s="108"/>
      <c r="AN945" s="109"/>
      <c r="AO945" s="108"/>
      <c r="AP945" s="108"/>
      <c r="AQ945" s="108"/>
      <c r="AR945" s="108"/>
      <c r="AS945" s="108"/>
      <c r="AT945" s="108"/>
      <c r="AU945" s="108"/>
      <c r="AV945" s="108"/>
      <c r="AW945" s="108"/>
      <c r="AX945" s="108"/>
      <c r="AY945" s="108"/>
      <c r="AZ945" s="108">
        <v>1000</v>
      </c>
      <c r="BA945" s="108">
        <f>1000*56000</f>
        <v>56000000</v>
      </c>
      <c r="BB945" s="108"/>
      <c r="BC945" s="108"/>
      <c r="BD945" s="108"/>
      <c r="BE945" s="108"/>
      <c r="BF945" s="108"/>
      <c r="BG945" s="108"/>
      <c r="BH945" s="108"/>
      <c r="BI945" s="108"/>
      <c r="BJ945" s="108"/>
      <c r="BK945" s="108"/>
      <c r="BL945" s="108"/>
      <c r="BM945" s="108"/>
      <c r="BN945" s="108"/>
      <c r="BO945" s="108"/>
      <c r="BP945" s="108"/>
      <c r="BQ945" s="108"/>
      <c r="BR945" s="108"/>
      <c r="BS945" s="108"/>
      <c r="BT945" s="108"/>
      <c r="BU945" s="108"/>
      <c r="BV945" s="108"/>
      <c r="BW945" s="108"/>
      <c r="BX945" s="108"/>
      <c r="BY945" s="108"/>
      <c r="BZ945" s="108"/>
      <c r="CA945" s="108"/>
      <c r="CB945" s="108"/>
      <c r="CC945" s="108"/>
      <c r="CD945" s="108"/>
      <c r="CE945" s="108"/>
      <c r="CF945" s="108"/>
      <c r="CG945" s="108"/>
      <c r="CH945" s="108"/>
      <c r="CI945" s="108"/>
      <c r="CJ945" s="108"/>
      <c r="CK945" s="108"/>
      <c r="CL945" s="108"/>
      <c r="CM945" s="108"/>
      <c r="CN945" s="110">
        <v>1000</v>
      </c>
      <c r="CO945" s="111">
        <f>1000*38500</f>
        <v>38500000</v>
      </c>
      <c r="CP945" s="110"/>
      <c r="CQ945" s="111"/>
      <c r="CR945" s="110"/>
      <c r="CS945" s="111"/>
      <c r="CT945" s="112">
        <f t="shared" ref="CT945:CT969" si="241">AM945+AO945+AQ945+AS945+AU945+AW945+AY945+BA945+BC945+BE945+BG945+BI945+BK945+BM945+BO945+BQ945+BS945+BU945+BW945+BY945+CA945+CC945+CE945+CG945+CI945+CK945+CM945+CO945+CQ945+CS945</f>
        <v>94500000</v>
      </c>
      <c r="CU945" s="113">
        <v>30000</v>
      </c>
      <c r="CV945" s="114">
        <f>30000*986</f>
        <v>29580000</v>
      </c>
      <c r="CW945" s="115"/>
      <c r="CX945" s="116"/>
      <c r="CY945" s="117"/>
      <c r="CZ945" s="116"/>
      <c r="DA945" s="113"/>
      <c r="DB945" s="114"/>
      <c r="DC945" s="64"/>
      <c r="DD945" s="118"/>
    </row>
    <row r="946" spans="1:108" s="119" customFormat="1" ht="24.75" outlineLevel="2">
      <c r="A946" s="178">
        <v>40431</v>
      </c>
      <c r="B946" s="174" t="s">
        <v>1477</v>
      </c>
      <c r="C946" s="174" t="s">
        <v>1457</v>
      </c>
      <c r="D946" s="179" t="s">
        <v>1262</v>
      </c>
      <c r="E946" s="163"/>
      <c r="F946" s="105"/>
      <c r="G946" s="105"/>
      <c r="H946" s="105"/>
      <c r="I946" s="105"/>
      <c r="J946" s="105"/>
      <c r="K946" s="105"/>
      <c r="L946" s="105"/>
      <c r="M946" s="105"/>
      <c r="N946" s="105"/>
      <c r="O946" s="105"/>
      <c r="P946" s="105"/>
      <c r="Q946" s="105"/>
      <c r="R946" s="105"/>
      <c r="S946" s="105"/>
      <c r="T946" s="106"/>
      <c r="U946" s="130" t="s">
        <v>449</v>
      </c>
      <c r="V946" s="1"/>
      <c r="W946" s="68">
        <f t="shared" si="236"/>
        <v>0</v>
      </c>
      <c r="X946" s="68">
        <f t="shared" si="237"/>
        <v>0</v>
      </c>
      <c r="Y946" s="68">
        <f t="shared" si="238"/>
        <v>0</v>
      </c>
      <c r="Z946" s="68">
        <f t="shared" si="239"/>
        <v>0</v>
      </c>
      <c r="AA946" s="68"/>
      <c r="AB946" s="68">
        <v>0</v>
      </c>
      <c r="AC946" s="69">
        <f t="shared" si="240"/>
        <v>0</v>
      </c>
      <c r="AD946" s="70">
        <v>0</v>
      </c>
      <c r="AE946" s="63">
        <v>40435</v>
      </c>
      <c r="AF946" s="72"/>
      <c r="AG946" s="63" t="s">
        <v>938</v>
      </c>
      <c r="AH946" s="23" t="s">
        <v>939</v>
      </c>
      <c r="AI946" s="60"/>
      <c r="AJ946" s="124" t="s">
        <v>1608</v>
      </c>
      <c r="AK946" s="121" t="s">
        <v>448</v>
      </c>
      <c r="AL946" s="107"/>
      <c r="AM946" s="108"/>
      <c r="AN946" s="109"/>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c r="BJ946" s="108"/>
      <c r="BK946" s="108"/>
      <c r="BL946" s="108"/>
      <c r="BM946" s="108"/>
      <c r="BN946" s="108"/>
      <c r="BO946" s="108"/>
      <c r="BP946" s="108"/>
      <c r="BQ946" s="108"/>
      <c r="BR946" s="108"/>
      <c r="BS946" s="108"/>
      <c r="BT946" s="108"/>
      <c r="BU946" s="108"/>
      <c r="BV946" s="108"/>
      <c r="BW946" s="108"/>
      <c r="BX946" s="108"/>
      <c r="BY946" s="108"/>
      <c r="BZ946" s="108"/>
      <c r="CA946" s="108"/>
      <c r="CB946" s="108"/>
      <c r="CC946" s="108"/>
      <c r="CD946" s="108"/>
      <c r="CE946" s="108"/>
      <c r="CF946" s="108"/>
      <c r="CG946" s="108"/>
      <c r="CH946" s="108"/>
      <c r="CI946" s="108"/>
      <c r="CJ946" s="108"/>
      <c r="CK946" s="108"/>
      <c r="CL946" s="108"/>
      <c r="CM946" s="108"/>
      <c r="CN946" s="110"/>
      <c r="CO946" s="111"/>
      <c r="CP946" s="110"/>
      <c r="CQ946" s="111"/>
      <c r="CR946" s="110"/>
      <c r="CS946" s="111"/>
      <c r="CT946" s="112">
        <f t="shared" si="241"/>
        <v>0</v>
      </c>
      <c r="CU946" s="113"/>
      <c r="CV946" s="114"/>
      <c r="CW946" s="115"/>
      <c r="CX946" s="116"/>
      <c r="CY946" s="117"/>
      <c r="CZ946" s="116"/>
      <c r="DA946" s="113"/>
      <c r="DB946" s="114"/>
      <c r="DC946" s="64"/>
      <c r="DD946" s="118"/>
    </row>
    <row r="947" spans="1:108" s="119" customFormat="1" ht="24" outlineLevel="2">
      <c r="A947" s="178">
        <v>40434</v>
      </c>
      <c r="B947" s="174" t="s">
        <v>1477</v>
      </c>
      <c r="C947" s="174" t="s">
        <v>2038</v>
      </c>
      <c r="D947" s="165" t="s">
        <v>1182</v>
      </c>
      <c r="E947" s="163">
        <v>2</v>
      </c>
      <c r="F947" s="105">
        <v>4</v>
      </c>
      <c r="G947" s="105"/>
      <c r="H947" s="105">
        <v>6</v>
      </c>
      <c r="I947" s="105">
        <v>1</v>
      </c>
      <c r="J947" s="105">
        <v>1</v>
      </c>
      <c r="K947" s="105"/>
      <c r="L947" s="105"/>
      <c r="M947" s="105"/>
      <c r="N947" s="105"/>
      <c r="O947" s="105"/>
      <c r="P947" s="105"/>
      <c r="Q947" s="105"/>
      <c r="R947" s="105"/>
      <c r="S947" s="105"/>
      <c r="T947" s="106"/>
      <c r="U947" s="130"/>
      <c r="V947" s="1"/>
      <c r="W947" s="68">
        <f t="shared" si="236"/>
        <v>0</v>
      </c>
      <c r="X947" s="68">
        <f t="shared" si="237"/>
        <v>0</v>
      </c>
      <c r="Y947" s="68">
        <f t="shared" si="238"/>
        <v>0</v>
      </c>
      <c r="Z947" s="68">
        <f t="shared" si="239"/>
        <v>0</v>
      </c>
      <c r="AA947" s="68"/>
      <c r="AB947" s="68">
        <v>0</v>
      </c>
      <c r="AC947" s="69">
        <f t="shared" si="240"/>
        <v>0</v>
      </c>
      <c r="AD947" s="70">
        <v>0</v>
      </c>
      <c r="AE947" s="63">
        <v>40435</v>
      </c>
      <c r="AF947" s="72"/>
      <c r="AG947" s="63" t="s">
        <v>938</v>
      </c>
      <c r="AH947" s="23" t="s">
        <v>939</v>
      </c>
      <c r="AI947" s="60"/>
      <c r="AJ947" s="124" t="s">
        <v>1608</v>
      </c>
      <c r="AK947" s="121" t="s">
        <v>451</v>
      </c>
      <c r="AL947" s="107"/>
      <c r="AM947" s="108"/>
      <c r="AN947" s="109"/>
      <c r="AO947" s="108"/>
      <c r="AP947" s="108"/>
      <c r="AQ947" s="108"/>
      <c r="AR947" s="108"/>
      <c r="AS947" s="108"/>
      <c r="AT947" s="108"/>
      <c r="AU947" s="108"/>
      <c r="AV947" s="108"/>
      <c r="AW947" s="108"/>
      <c r="AX947" s="108"/>
      <c r="AY947" s="108"/>
      <c r="AZ947" s="108"/>
      <c r="BA947" s="108"/>
      <c r="BB947" s="108"/>
      <c r="BC947" s="108"/>
      <c r="BD947" s="108"/>
      <c r="BE947" s="108"/>
      <c r="BF947" s="108"/>
      <c r="BG947" s="108"/>
      <c r="BH947" s="108"/>
      <c r="BI947" s="108"/>
      <c r="BJ947" s="108"/>
      <c r="BK947" s="108"/>
      <c r="BL947" s="108"/>
      <c r="BM947" s="108"/>
      <c r="BN947" s="108"/>
      <c r="BO947" s="108"/>
      <c r="BP947" s="108"/>
      <c r="BQ947" s="108"/>
      <c r="BR947" s="108"/>
      <c r="BS947" s="108"/>
      <c r="BT947" s="108"/>
      <c r="BU947" s="108"/>
      <c r="BV947" s="108"/>
      <c r="BW947" s="108"/>
      <c r="BX947" s="108"/>
      <c r="BY947" s="108"/>
      <c r="BZ947" s="108"/>
      <c r="CA947" s="108"/>
      <c r="CB947" s="108"/>
      <c r="CC947" s="108"/>
      <c r="CD947" s="108"/>
      <c r="CE947" s="108"/>
      <c r="CF947" s="108"/>
      <c r="CG947" s="108"/>
      <c r="CH947" s="108"/>
      <c r="CI947" s="108"/>
      <c r="CJ947" s="108"/>
      <c r="CK947" s="108"/>
      <c r="CL947" s="108"/>
      <c r="CM947" s="108"/>
      <c r="CN947" s="110"/>
      <c r="CO947" s="111"/>
      <c r="CP947" s="110"/>
      <c r="CQ947" s="111"/>
      <c r="CR947" s="110"/>
      <c r="CS947" s="111"/>
      <c r="CT947" s="112">
        <f t="shared" si="241"/>
        <v>0</v>
      </c>
      <c r="CU947" s="113"/>
      <c r="CV947" s="114"/>
      <c r="CW947" s="115"/>
      <c r="CX947" s="116"/>
      <c r="CY947" s="117"/>
      <c r="CZ947" s="116"/>
      <c r="DA947" s="113"/>
      <c r="DB947" s="114"/>
      <c r="DC947" s="64"/>
      <c r="DD947" s="118"/>
    </row>
    <row r="948" spans="1:108" s="119" customFormat="1" ht="36" outlineLevel="2">
      <c r="A948" s="178">
        <v>40434</v>
      </c>
      <c r="B948" s="174" t="s">
        <v>1477</v>
      </c>
      <c r="C948" s="174" t="s">
        <v>1457</v>
      </c>
      <c r="D948" s="179" t="s">
        <v>1262</v>
      </c>
      <c r="E948" s="163"/>
      <c r="F948" s="105"/>
      <c r="G948" s="105"/>
      <c r="H948" s="105">
        <v>15</v>
      </c>
      <c r="I948" s="105">
        <v>3</v>
      </c>
      <c r="J948" s="105"/>
      <c r="K948" s="105">
        <v>3</v>
      </c>
      <c r="L948" s="105"/>
      <c r="M948" s="105"/>
      <c r="N948" s="105"/>
      <c r="O948" s="105"/>
      <c r="P948" s="105"/>
      <c r="Q948" s="105"/>
      <c r="R948" s="105"/>
      <c r="S948" s="105"/>
      <c r="T948" s="106"/>
      <c r="U948" s="130"/>
      <c r="V948" s="1"/>
      <c r="W948" s="68">
        <f t="shared" si="236"/>
        <v>0</v>
      </c>
      <c r="X948" s="68">
        <f t="shared" si="237"/>
        <v>0</v>
      </c>
      <c r="Y948" s="68">
        <f t="shared" si="238"/>
        <v>0</v>
      </c>
      <c r="Z948" s="68">
        <f t="shared" si="239"/>
        <v>0</v>
      </c>
      <c r="AA948" s="68"/>
      <c r="AB948" s="68">
        <v>0</v>
      </c>
      <c r="AC948" s="69">
        <f t="shared" si="240"/>
        <v>0</v>
      </c>
      <c r="AD948" s="70">
        <v>0</v>
      </c>
      <c r="AE948" s="63">
        <v>40435</v>
      </c>
      <c r="AF948" s="72"/>
      <c r="AG948" s="63" t="s">
        <v>938</v>
      </c>
      <c r="AH948" s="23" t="s">
        <v>939</v>
      </c>
      <c r="AI948" s="60"/>
      <c r="AJ948" s="124" t="s">
        <v>1608</v>
      </c>
      <c r="AK948" s="121" t="s">
        <v>452</v>
      </c>
      <c r="AL948" s="107"/>
      <c r="AM948" s="108"/>
      <c r="AN948" s="109"/>
      <c r="AO948" s="108"/>
      <c r="AP948" s="108"/>
      <c r="AQ948" s="108"/>
      <c r="AR948" s="108"/>
      <c r="AS948" s="108"/>
      <c r="AT948" s="108"/>
      <c r="AU948" s="108"/>
      <c r="AV948" s="108"/>
      <c r="AW948" s="108"/>
      <c r="AX948" s="108"/>
      <c r="AY948" s="108"/>
      <c r="AZ948" s="108"/>
      <c r="BA948" s="108"/>
      <c r="BB948" s="108"/>
      <c r="BC948" s="108"/>
      <c r="BD948" s="108"/>
      <c r="BE948" s="108"/>
      <c r="BF948" s="108"/>
      <c r="BG948" s="108"/>
      <c r="BH948" s="108"/>
      <c r="BI948" s="108"/>
      <c r="BJ948" s="108"/>
      <c r="BK948" s="108"/>
      <c r="BL948" s="108"/>
      <c r="BM948" s="108"/>
      <c r="BN948" s="108"/>
      <c r="BO948" s="108"/>
      <c r="BP948" s="108"/>
      <c r="BQ948" s="108"/>
      <c r="BR948" s="108"/>
      <c r="BS948" s="108"/>
      <c r="BT948" s="108"/>
      <c r="BU948" s="108"/>
      <c r="BV948" s="108"/>
      <c r="BW948" s="108"/>
      <c r="BX948" s="108"/>
      <c r="BY948" s="108"/>
      <c r="BZ948" s="108"/>
      <c r="CA948" s="108"/>
      <c r="CB948" s="108"/>
      <c r="CC948" s="108"/>
      <c r="CD948" s="108"/>
      <c r="CE948" s="108"/>
      <c r="CF948" s="108"/>
      <c r="CG948" s="108"/>
      <c r="CH948" s="108"/>
      <c r="CI948" s="108"/>
      <c r="CJ948" s="108"/>
      <c r="CK948" s="108"/>
      <c r="CL948" s="108"/>
      <c r="CM948" s="108"/>
      <c r="CN948" s="110"/>
      <c r="CO948" s="111"/>
      <c r="CP948" s="110"/>
      <c r="CQ948" s="111"/>
      <c r="CR948" s="110"/>
      <c r="CS948" s="111"/>
      <c r="CT948" s="112">
        <f t="shared" si="241"/>
        <v>0</v>
      </c>
      <c r="CU948" s="113"/>
      <c r="CV948" s="114"/>
      <c r="CW948" s="115"/>
      <c r="CX948" s="116"/>
      <c r="CY948" s="117"/>
      <c r="CZ948" s="116"/>
      <c r="DA948" s="113"/>
      <c r="DB948" s="114"/>
      <c r="DC948" s="64"/>
      <c r="DD948" s="118"/>
    </row>
    <row r="949" spans="1:108" s="119" customFormat="1" ht="120" outlineLevel="2">
      <c r="A949" s="178">
        <v>40434</v>
      </c>
      <c r="B949" s="164" t="s">
        <v>1477</v>
      </c>
      <c r="C949" s="164" t="s">
        <v>1675</v>
      </c>
      <c r="D949" s="166" t="s">
        <v>1262</v>
      </c>
      <c r="E949" s="163"/>
      <c r="F949" s="105"/>
      <c r="G949" s="105"/>
      <c r="H949" s="105">
        <f>1680*5</f>
        <v>8400</v>
      </c>
      <c r="I949" s="105">
        <v>1680</v>
      </c>
      <c r="J949" s="105"/>
      <c r="K949" s="105">
        <v>1680</v>
      </c>
      <c r="L949" s="105"/>
      <c r="M949" s="105"/>
      <c r="N949" s="105"/>
      <c r="O949" s="105"/>
      <c r="P949" s="105"/>
      <c r="Q949" s="105"/>
      <c r="R949" s="105">
        <v>1</v>
      </c>
      <c r="S949" s="105"/>
      <c r="T949" s="106"/>
      <c r="U949" s="130"/>
      <c r="V949" s="1">
        <v>40508</v>
      </c>
      <c r="W949" s="68">
        <f t="shared" si="236"/>
        <v>49843840</v>
      </c>
      <c r="X949" s="68">
        <f t="shared" si="237"/>
        <v>142800000</v>
      </c>
      <c r="Y949" s="68">
        <f t="shared" si="238"/>
        <v>0</v>
      </c>
      <c r="Z949" s="68">
        <f t="shared" si="239"/>
        <v>4500800</v>
      </c>
      <c r="AA949" s="68"/>
      <c r="AB949" s="68">
        <v>0</v>
      </c>
      <c r="AC949" s="69">
        <f t="shared" si="240"/>
        <v>197144640</v>
      </c>
      <c r="AD949" s="70">
        <f>180670000-1680*85000-30240000-2041600+17470000-4500800+85000000</f>
        <v>103557600</v>
      </c>
      <c r="AE949" s="63">
        <v>40441</v>
      </c>
      <c r="AF949" s="72">
        <v>52364</v>
      </c>
      <c r="AG949" s="63" t="s">
        <v>954</v>
      </c>
      <c r="AH949" s="23" t="s">
        <v>955</v>
      </c>
      <c r="AI949" s="60"/>
      <c r="AJ949" s="133" t="s">
        <v>415</v>
      </c>
      <c r="AK949" s="121" t="s">
        <v>2015</v>
      </c>
      <c r="AL949" s="107"/>
      <c r="AM949" s="108"/>
      <c r="AN949" s="109"/>
      <c r="AO949" s="108"/>
      <c r="AP949" s="108"/>
      <c r="AQ949" s="108"/>
      <c r="AR949" s="108"/>
      <c r="AS949" s="108"/>
      <c r="AT949" s="108"/>
      <c r="AU949" s="108"/>
      <c r="AV949" s="108"/>
      <c r="AW949" s="108"/>
      <c r="AX949" s="108">
        <v>270</v>
      </c>
      <c r="AY949" s="108">
        <f>270*55712</f>
        <v>15042240</v>
      </c>
      <c r="AZ949" s="108"/>
      <c r="BA949" s="108"/>
      <c r="BB949" s="108"/>
      <c r="BC949" s="108"/>
      <c r="BD949" s="108"/>
      <c r="BE949" s="108"/>
      <c r="BF949" s="108"/>
      <c r="BG949" s="108"/>
      <c r="BH949" s="108"/>
      <c r="BI949" s="108"/>
      <c r="BJ949" s="108"/>
      <c r="BK949" s="108"/>
      <c r="BL949" s="108"/>
      <c r="BM949" s="108"/>
      <c r="BN949" s="108"/>
      <c r="BO949" s="108"/>
      <c r="BP949" s="108"/>
      <c r="BQ949" s="108"/>
      <c r="BR949" s="108"/>
      <c r="BS949" s="108"/>
      <c r="BT949" s="108"/>
      <c r="BU949" s="108"/>
      <c r="BV949" s="108"/>
      <c r="BW949" s="108"/>
      <c r="BX949" s="108">
        <f>4+5</f>
        <v>9</v>
      </c>
      <c r="BY949" s="108">
        <f>4*510400+5*504000</f>
        <v>4561600</v>
      </c>
      <c r="BZ949" s="108"/>
      <c r="CA949" s="108"/>
      <c r="CB949" s="108"/>
      <c r="CC949" s="108"/>
      <c r="CD949" s="108"/>
      <c r="CE949" s="108"/>
      <c r="CF949" s="108"/>
      <c r="CG949" s="108"/>
      <c r="CH949" s="108"/>
      <c r="CI949" s="108"/>
      <c r="CJ949" s="108"/>
      <c r="CK949" s="108"/>
      <c r="CL949" s="108">
        <v>1680</v>
      </c>
      <c r="CM949" s="108">
        <f>1680*18000</f>
        <v>30240000</v>
      </c>
      <c r="CN949" s="110"/>
      <c r="CO949" s="111"/>
      <c r="CP949" s="110"/>
      <c r="CQ949" s="111"/>
      <c r="CR949" s="110"/>
      <c r="CS949" s="111"/>
      <c r="CT949" s="112">
        <f t="shared" si="241"/>
        <v>49843840</v>
      </c>
      <c r="CU949" s="113">
        <v>5000</v>
      </c>
      <c r="CV949" s="114">
        <f>5000*900.16</f>
        <v>4500800</v>
      </c>
      <c r="CW949" s="115">
        <v>1680</v>
      </c>
      <c r="CX949" s="116">
        <f>1680*85000</f>
        <v>142800000</v>
      </c>
      <c r="CY949" s="117"/>
      <c r="CZ949" s="116"/>
      <c r="DA949" s="113"/>
      <c r="DB949" s="114"/>
      <c r="DC949" s="64"/>
      <c r="DD949" s="118"/>
    </row>
    <row r="950" spans="1:108" s="119" customFormat="1" ht="45" outlineLevel="2">
      <c r="A950" s="178">
        <v>40440</v>
      </c>
      <c r="B950" s="164" t="s">
        <v>1477</v>
      </c>
      <c r="C950" s="164" t="s">
        <v>1312</v>
      </c>
      <c r="D950" s="166" t="s">
        <v>1262</v>
      </c>
      <c r="E950" s="163"/>
      <c r="F950" s="105"/>
      <c r="G950" s="105"/>
      <c r="H950" s="105">
        <v>1000</v>
      </c>
      <c r="I950" s="105">
        <v>200</v>
      </c>
      <c r="J950" s="105"/>
      <c r="K950" s="105">
        <v>200</v>
      </c>
      <c r="L950" s="105"/>
      <c r="M950" s="105"/>
      <c r="N950" s="105"/>
      <c r="O950" s="105"/>
      <c r="P950" s="105"/>
      <c r="Q950" s="105"/>
      <c r="R950" s="105"/>
      <c r="S950" s="105"/>
      <c r="T950" s="106"/>
      <c r="U950" s="130"/>
      <c r="V950" s="1"/>
      <c r="W950" s="68">
        <f t="shared" si="236"/>
        <v>1800000</v>
      </c>
      <c r="X950" s="68">
        <f t="shared" si="237"/>
        <v>8500000</v>
      </c>
      <c r="Y950" s="68">
        <f t="shared" si="238"/>
        <v>0</v>
      </c>
      <c r="Z950" s="68">
        <f t="shared" si="239"/>
        <v>1800320</v>
      </c>
      <c r="AA950" s="68"/>
      <c r="AB950" s="68">
        <v>0</v>
      </c>
      <c r="AC950" s="69">
        <f t="shared" si="240"/>
        <v>12100320</v>
      </c>
      <c r="AD950" s="70">
        <v>19350000</v>
      </c>
      <c r="AE950" s="63">
        <v>40444</v>
      </c>
      <c r="AF950" s="72">
        <v>52364</v>
      </c>
      <c r="AG950" s="63" t="s">
        <v>954</v>
      </c>
      <c r="AH950" s="23" t="s">
        <v>955</v>
      </c>
      <c r="AI950" s="60"/>
      <c r="AJ950" s="133" t="s">
        <v>415</v>
      </c>
      <c r="AK950" s="121" t="s">
        <v>1313</v>
      </c>
      <c r="AL950" s="107"/>
      <c r="AM950" s="108"/>
      <c r="AN950" s="109"/>
      <c r="AO950" s="108"/>
      <c r="AP950" s="108"/>
      <c r="AQ950" s="108"/>
      <c r="AR950" s="108"/>
      <c r="AS950" s="108"/>
      <c r="AT950" s="108"/>
      <c r="AU950" s="108"/>
      <c r="AV950" s="108"/>
      <c r="AW950" s="108"/>
      <c r="AX950" s="108"/>
      <c r="AY950" s="108"/>
      <c r="AZ950" s="108"/>
      <c r="BA950" s="108"/>
      <c r="BB950" s="108"/>
      <c r="BC950" s="108"/>
      <c r="BD950" s="108"/>
      <c r="BE950" s="108"/>
      <c r="BF950" s="108"/>
      <c r="BG950" s="108"/>
      <c r="BH950" s="108"/>
      <c r="BI950" s="108"/>
      <c r="BJ950" s="108"/>
      <c r="BK950" s="108"/>
      <c r="BL950" s="108"/>
      <c r="BM950" s="108"/>
      <c r="BN950" s="108"/>
      <c r="BO950" s="108"/>
      <c r="BP950" s="108"/>
      <c r="BQ950" s="108"/>
      <c r="BR950" s="108"/>
      <c r="BS950" s="108"/>
      <c r="BT950" s="108"/>
      <c r="BU950" s="108"/>
      <c r="BV950" s="108"/>
      <c r="BW950" s="108"/>
      <c r="BX950" s="108"/>
      <c r="BY950" s="108"/>
      <c r="BZ950" s="108"/>
      <c r="CA950" s="108"/>
      <c r="CB950" s="108"/>
      <c r="CC950" s="108"/>
      <c r="CD950" s="108"/>
      <c r="CE950" s="108"/>
      <c r="CF950" s="108"/>
      <c r="CG950" s="108"/>
      <c r="CH950" s="108"/>
      <c r="CI950" s="108"/>
      <c r="CJ950" s="108"/>
      <c r="CK950" s="108"/>
      <c r="CL950" s="108">
        <v>100</v>
      </c>
      <c r="CM950" s="108">
        <f>100*18000</f>
        <v>1800000</v>
      </c>
      <c r="CN950" s="110"/>
      <c r="CO950" s="111"/>
      <c r="CP950" s="110"/>
      <c r="CQ950" s="111"/>
      <c r="CR950" s="110"/>
      <c r="CS950" s="111"/>
      <c r="CT950" s="112">
        <f t="shared" si="241"/>
        <v>1800000</v>
      </c>
      <c r="CU950" s="113">
        <v>2000</v>
      </c>
      <c r="CV950" s="114">
        <f>2000*900.16</f>
        <v>1800320</v>
      </c>
      <c r="CW950" s="115">
        <v>100</v>
      </c>
      <c r="CX950" s="116">
        <f>100*85000</f>
        <v>8500000</v>
      </c>
      <c r="CY950" s="117"/>
      <c r="CZ950" s="116"/>
      <c r="DA950" s="113"/>
      <c r="DB950" s="114"/>
      <c r="DC950" s="64"/>
      <c r="DD950" s="118"/>
    </row>
    <row r="951" spans="1:108" s="119" customFormat="1" ht="108" outlineLevel="2">
      <c r="A951" s="178">
        <v>40440</v>
      </c>
      <c r="B951" s="164" t="s">
        <v>1477</v>
      </c>
      <c r="C951" s="164" t="s">
        <v>1307</v>
      </c>
      <c r="D951" s="166" t="s">
        <v>1262</v>
      </c>
      <c r="E951" s="163"/>
      <c r="F951" s="105"/>
      <c r="G951" s="105"/>
      <c r="H951" s="105">
        <v>9905</v>
      </c>
      <c r="I951" s="105">
        <v>1981</v>
      </c>
      <c r="J951" s="105"/>
      <c r="K951" s="105">
        <v>1981</v>
      </c>
      <c r="L951" s="105"/>
      <c r="M951" s="105"/>
      <c r="N951" s="105"/>
      <c r="O951" s="105"/>
      <c r="P951" s="105"/>
      <c r="Q951" s="105"/>
      <c r="R951" s="105"/>
      <c r="S951" s="105"/>
      <c r="T951" s="106"/>
      <c r="U951" s="130"/>
      <c r="V951" s="1"/>
      <c r="W951" s="68">
        <f t="shared" si="236"/>
        <v>39439200</v>
      </c>
      <c r="X951" s="68">
        <f t="shared" si="237"/>
        <v>253385000</v>
      </c>
      <c r="Y951" s="68">
        <f t="shared" si="238"/>
        <v>0</v>
      </c>
      <c r="Z951" s="68">
        <f t="shared" si="239"/>
        <v>4500800</v>
      </c>
      <c r="AA951" s="68"/>
      <c r="AB951" s="68">
        <v>0</v>
      </c>
      <c r="AC951" s="69">
        <f t="shared" si="240"/>
        <v>297325000</v>
      </c>
      <c r="AD951" s="70">
        <v>87350000</v>
      </c>
      <c r="AE951" s="63">
        <v>40441</v>
      </c>
      <c r="AF951" s="72">
        <v>52364</v>
      </c>
      <c r="AG951" s="63" t="s">
        <v>954</v>
      </c>
      <c r="AH951" s="23" t="s">
        <v>955</v>
      </c>
      <c r="AI951" s="60">
        <v>26471</v>
      </c>
      <c r="AJ951" s="133" t="s">
        <v>415</v>
      </c>
      <c r="AK951" s="121" t="s">
        <v>2014</v>
      </c>
      <c r="AL951" s="107"/>
      <c r="AM951" s="108"/>
      <c r="AN951" s="109"/>
      <c r="AO951" s="108"/>
      <c r="AP951" s="108"/>
      <c r="AQ951" s="108"/>
      <c r="AR951" s="108"/>
      <c r="AS951" s="108"/>
      <c r="AT951" s="108"/>
      <c r="AU951" s="108"/>
      <c r="AV951" s="108"/>
      <c r="AW951" s="108"/>
      <c r="AX951" s="108"/>
      <c r="AY951" s="108"/>
      <c r="AZ951" s="108"/>
      <c r="BA951" s="108"/>
      <c r="BB951" s="108"/>
      <c r="BC951" s="108"/>
      <c r="BD951" s="108"/>
      <c r="BE951" s="108"/>
      <c r="BF951" s="108"/>
      <c r="BG951" s="108"/>
      <c r="BH951" s="108"/>
      <c r="BI951" s="108"/>
      <c r="BJ951" s="108"/>
      <c r="BK951" s="108"/>
      <c r="BL951" s="108"/>
      <c r="BM951" s="108"/>
      <c r="BN951" s="108"/>
      <c r="BO951" s="108"/>
      <c r="BP951" s="108"/>
      <c r="BQ951" s="108"/>
      <c r="BR951" s="108"/>
      <c r="BS951" s="108"/>
      <c r="BT951" s="108"/>
      <c r="BU951" s="108"/>
      <c r="BV951" s="108"/>
      <c r="BW951" s="108"/>
      <c r="BX951" s="108">
        <f>3+5</f>
        <v>8</v>
      </c>
      <c r="BY951" s="108">
        <f>3*510400+5*450000</f>
        <v>3781200</v>
      </c>
      <c r="BZ951" s="108"/>
      <c r="CA951" s="108"/>
      <c r="CB951" s="108"/>
      <c r="CC951" s="108"/>
      <c r="CD951" s="108"/>
      <c r="CE951" s="108"/>
      <c r="CF951" s="108"/>
      <c r="CG951" s="108"/>
      <c r="CH951" s="108"/>
      <c r="CI951" s="108"/>
      <c r="CJ951" s="108"/>
      <c r="CK951" s="108"/>
      <c r="CL951" s="108">
        <v>1981</v>
      </c>
      <c r="CM951" s="108">
        <f>1981*18000</f>
        <v>35658000</v>
      </c>
      <c r="CN951" s="110"/>
      <c r="CO951" s="111"/>
      <c r="CP951" s="110"/>
      <c r="CQ951" s="111"/>
      <c r="CR951" s="110"/>
      <c r="CS951" s="111"/>
      <c r="CT951" s="112">
        <f t="shared" si="241"/>
        <v>39439200</v>
      </c>
      <c r="CU951" s="113">
        <v>5000</v>
      </c>
      <c r="CV951" s="114">
        <f>5000*900.16</f>
        <v>4500800</v>
      </c>
      <c r="CW951" s="115">
        <f>1981+1000</f>
        <v>2981</v>
      </c>
      <c r="CX951" s="116">
        <f>1981*85000+1000*85000</f>
        <v>253385000</v>
      </c>
      <c r="CY951" s="117"/>
      <c r="CZ951" s="116"/>
      <c r="DA951" s="113"/>
      <c r="DB951" s="114"/>
      <c r="DC951" s="64"/>
      <c r="DD951" s="118"/>
    </row>
    <row r="952" spans="1:108" s="119" customFormat="1" ht="84" outlineLevel="2">
      <c r="A952" s="178">
        <v>40447</v>
      </c>
      <c r="B952" s="164" t="s">
        <v>1477</v>
      </c>
      <c r="C952" s="164" t="s">
        <v>1457</v>
      </c>
      <c r="D952" s="166" t="s">
        <v>1262</v>
      </c>
      <c r="E952" s="163"/>
      <c r="F952" s="105"/>
      <c r="G952" s="105"/>
      <c r="H952" s="105"/>
      <c r="I952" s="105"/>
      <c r="J952" s="105"/>
      <c r="K952" s="105"/>
      <c r="L952" s="105"/>
      <c r="M952" s="105"/>
      <c r="N952" s="105"/>
      <c r="O952" s="105"/>
      <c r="P952" s="105"/>
      <c r="Q952" s="105"/>
      <c r="R952" s="105"/>
      <c r="S952" s="105"/>
      <c r="T952" s="106"/>
      <c r="U952" s="130"/>
      <c r="V952" s="1"/>
      <c r="W952" s="68">
        <f t="shared" si="236"/>
        <v>0</v>
      </c>
      <c r="X952" s="68">
        <f t="shared" si="237"/>
        <v>0</v>
      </c>
      <c r="Y952" s="68">
        <f t="shared" si="238"/>
        <v>0</v>
      </c>
      <c r="Z952" s="68">
        <f t="shared" si="239"/>
        <v>0</v>
      </c>
      <c r="AA952" s="68"/>
      <c r="AB952" s="68">
        <v>0</v>
      </c>
      <c r="AC952" s="69">
        <f t="shared" si="240"/>
        <v>0</v>
      </c>
      <c r="AD952" s="70">
        <v>0</v>
      </c>
      <c r="AE952" s="63">
        <v>40448</v>
      </c>
      <c r="AF952" s="72"/>
      <c r="AG952" s="63" t="s">
        <v>938</v>
      </c>
      <c r="AH952" s="23" t="s">
        <v>939</v>
      </c>
      <c r="AI952" s="60"/>
      <c r="AJ952" s="124" t="s">
        <v>1608</v>
      </c>
      <c r="AK952" s="121" t="s">
        <v>738</v>
      </c>
      <c r="AL952" s="107"/>
      <c r="AM952" s="108"/>
      <c r="AN952" s="109"/>
      <c r="AO952" s="108"/>
      <c r="AP952" s="108"/>
      <c r="AQ952" s="108"/>
      <c r="AR952" s="108"/>
      <c r="AS952" s="108"/>
      <c r="AT952" s="108"/>
      <c r="AU952" s="108"/>
      <c r="AV952" s="108"/>
      <c r="AW952" s="108"/>
      <c r="AX952" s="108"/>
      <c r="AY952" s="108"/>
      <c r="AZ952" s="108"/>
      <c r="BA952" s="108"/>
      <c r="BB952" s="108"/>
      <c r="BC952" s="108"/>
      <c r="BD952" s="108"/>
      <c r="BE952" s="108"/>
      <c r="BF952" s="108"/>
      <c r="BG952" s="108"/>
      <c r="BH952" s="108"/>
      <c r="BI952" s="108"/>
      <c r="BJ952" s="108"/>
      <c r="BK952" s="108"/>
      <c r="BL952" s="108"/>
      <c r="BM952" s="108"/>
      <c r="BN952" s="108"/>
      <c r="BO952" s="108"/>
      <c r="BP952" s="108"/>
      <c r="BQ952" s="108"/>
      <c r="BR952" s="108"/>
      <c r="BS952" s="108"/>
      <c r="BT952" s="108"/>
      <c r="BU952" s="108"/>
      <c r="BV952" s="108"/>
      <c r="BW952" s="108"/>
      <c r="BX952" s="108"/>
      <c r="BY952" s="108"/>
      <c r="BZ952" s="108"/>
      <c r="CA952" s="108"/>
      <c r="CB952" s="108"/>
      <c r="CC952" s="108"/>
      <c r="CD952" s="108"/>
      <c r="CE952" s="108"/>
      <c r="CF952" s="108"/>
      <c r="CG952" s="108"/>
      <c r="CH952" s="108"/>
      <c r="CI952" s="108"/>
      <c r="CJ952" s="108"/>
      <c r="CK952" s="108"/>
      <c r="CL952" s="108"/>
      <c r="CM952" s="108"/>
      <c r="CN952" s="110"/>
      <c r="CO952" s="111"/>
      <c r="CP952" s="110"/>
      <c r="CQ952" s="111"/>
      <c r="CR952" s="110"/>
      <c r="CS952" s="111"/>
      <c r="CT952" s="112">
        <f t="shared" si="241"/>
        <v>0</v>
      </c>
      <c r="CU952" s="113"/>
      <c r="CV952" s="114"/>
      <c r="CW952" s="115"/>
      <c r="CX952" s="116"/>
      <c r="CY952" s="117"/>
      <c r="CZ952" s="116"/>
      <c r="DA952" s="113"/>
      <c r="DB952" s="114"/>
      <c r="DC952" s="64"/>
      <c r="DD952" s="118"/>
    </row>
    <row r="953" spans="1:108" s="119" customFormat="1" ht="45" outlineLevel="2">
      <c r="A953" s="178">
        <v>40449</v>
      </c>
      <c r="B953" s="164" t="s">
        <v>1477</v>
      </c>
      <c r="C953" s="164" t="s">
        <v>1437</v>
      </c>
      <c r="D953" s="166" t="s">
        <v>1262</v>
      </c>
      <c r="E953" s="163"/>
      <c r="F953" s="105"/>
      <c r="G953" s="105"/>
      <c r="H953" s="105">
        <f>35*5</f>
        <v>175</v>
      </c>
      <c r="I953" s="105">
        <v>35</v>
      </c>
      <c r="J953" s="105"/>
      <c r="K953" s="105">
        <v>35</v>
      </c>
      <c r="L953" s="105"/>
      <c r="M953" s="105"/>
      <c r="N953" s="105"/>
      <c r="O953" s="105"/>
      <c r="P953" s="105"/>
      <c r="Q953" s="105"/>
      <c r="R953" s="105"/>
      <c r="S953" s="105"/>
      <c r="T953" s="106"/>
      <c r="U953" s="130"/>
      <c r="V953" s="1"/>
      <c r="W953" s="68">
        <f t="shared" si="236"/>
        <v>0</v>
      </c>
      <c r="X953" s="68">
        <f t="shared" si="237"/>
        <v>0</v>
      </c>
      <c r="Y953" s="68">
        <f t="shared" si="238"/>
        <v>0</v>
      </c>
      <c r="Z953" s="68">
        <f t="shared" si="239"/>
        <v>0</v>
      </c>
      <c r="AA953" s="68"/>
      <c r="AB953" s="68">
        <v>0</v>
      </c>
      <c r="AC953" s="69">
        <f t="shared" si="240"/>
        <v>0</v>
      </c>
      <c r="AD953" s="70">
        <v>18020000</v>
      </c>
      <c r="AE953" s="63">
        <v>40451</v>
      </c>
      <c r="AF953" s="72"/>
      <c r="AG953" s="63" t="s">
        <v>954</v>
      </c>
      <c r="AH953" s="23" t="s">
        <v>955</v>
      </c>
      <c r="AI953" s="60"/>
      <c r="AJ953" s="133" t="s">
        <v>415</v>
      </c>
      <c r="AK953" s="121" t="s">
        <v>746</v>
      </c>
      <c r="AL953" s="107"/>
      <c r="AM953" s="108"/>
      <c r="AN953" s="109"/>
      <c r="AO953" s="108"/>
      <c r="AP953" s="108"/>
      <c r="AQ953" s="108"/>
      <c r="AR953" s="108"/>
      <c r="AS953" s="108"/>
      <c r="AT953" s="108"/>
      <c r="AU953" s="108"/>
      <c r="AV953" s="108"/>
      <c r="AW953" s="108"/>
      <c r="AX953" s="108"/>
      <c r="AY953" s="108"/>
      <c r="AZ953" s="108"/>
      <c r="BA953" s="108"/>
      <c r="BB953" s="108"/>
      <c r="BC953" s="108"/>
      <c r="BD953" s="108"/>
      <c r="BE953" s="108"/>
      <c r="BF953" s="108"/>
      <c r="BG953" s="108"/>
      <c r="BH953" s="108"/>
      <c r="BI953" s="108"/>
      <c r="BJ953" s="108"/>
      <c r="BK953" s="108"/>
      <c r="BL953" s="108"/>
      <c r="BM953" s="108"/>
      <c r="BN953" s="108"/>
      <c r="BO953" s="108"/>
      <c r="BP953" s="108"/>
      <c r="BQ953" s="108"/>
      <c r="BR953" s="108"/>
      <c r="BS953" s="108"/>
      <c r="BT953" s="108"/>
      <c r="BU953" s="108"/>
      <c r="BV953" s="108"/>
      <c r="BW953" s="108"/>
      <c r="BX953" s="108"/>
      <c r="BY953" s="108"/>
      <c r="BZ953" s="108"/>
      <c r="CA953" s="108"/>
      <c r="CB953" s="108"/>
      <c r="CC953" s="108"/>
      <c r="CD953" s="108"/>
      <c r="CE953" s="108"/>
      <c r="CF953" s="108"/>
      <c r="CG953" s="108"/>
      <c r="CH953" s="108"/>
      <c r="CI953" s="108"/>
      <c r="CJ953" s="108"/>
      <c r="CK953" s="108"/>
      <c r="CL953" s="108"/>
      <c r="CM953" s="108"/>
      <c r="CN953" s="110"/>
      <c r="CO953" s="111"/>
      <c r="CP953" s="110"/>
      <c r="CQ953" s="111"/>
      <c r="CR953" s="110"/>
      <c r="CS953" s="111"/>
      <c r="CT953" s="112">
        <f t="shared" si="241"/>
        <v>0</v>
      </c>
      <c r="CU953" s="113"/>
      <c r="CV953" s="114"/>
      <c r="CW953" s="115"/>
      <c r="CX953" s="116"/>
      <c r="CY953" s="117"/>
      <c r="CZ953" s="116"/>
      <c r="DA953" s="113"/>
      <c r="DB953" s="114"/>
      <c r="DC953" s="64"/>
      <c r="DD953" s="118"/>
    </row>
    <row r="954" spans="1:108" s="119" customFormat="1" ht="22.5" outlineLevel="2">
      <c r="A954" s="178">
        <v>40451</v>
      </c>
      <c r="B954" s="164" t="s">
        <v>1477</v>
      </c>
      <c r="C954" s="164" t="s">
        <v>758</v>
      </c>
      <c r="D954" s="166" t="s">
        <v>1262</v>
      </c>
      <c r="E954" s="163"/>
      <c r="F954" s="105"/>
      <c r="G954" s="105"/>
      <c r="H954" s="105">
        <v>2850</v>
      </c>
      <c r="I954" s="105">
        <v>570</v>
      </c>
      <c r="J954" s="105"/>
      <c r="K954" s="105">
        <v>570</v>
      </c>
      <c r="L954" s="105"/>
      <c r="M954" s="105"/>
      <c r="N954" s="105"/>
      <c r="O954" s="105"/>
      <c r="P954" s="105"/>
      <c r="Q954" s="105"/>
      <c r="R954" s="105"/>
      <c r="S954" s="105"/>
      <c r="T954" s="106"/>
      <c r="U954" s="130"/>
      <c r="V954" s="1"/>
      <c r="W954" s="68">
        <f t="shared" si="236"/>
        <v>6931200</v>
      </c>
      <c r="X954" s="68">
        <f t="shared" si="237"/>
        <v>25500000</v>
      </c>
      <c r="Y954" s="68">
        <f t="shared" si="238"/>
        <v>0</v>
      </c>
      <c r="Z954" s="68">
        <f t="shared" si="239"/>
        <v>2700480</v>
      </c>
      <c r="AA954" s="68"/>
      <c r="AB954" s="68">
        <v>0</v>
      </c>
      <c r="AC954" s="69">
        <f t="shared" si="240"/>
        <v>35131680</v>
      </c>
      <c r="AD954" s="70">
        <f>35760000-300*85000-5400000-1531200+26440000</f>
        <v>29768800</v>
      </c>
      <c r="AE954" s="63">
        <v>40454</v>
      </c>
      <c r="AF954" s="72">
        <v>52364</v>
      </c>
      <c r="AG954" s="63" t="s">
        <v>954</v>
      </c>
      <c r="AH954" s="23" t="s">
        <v>955</v>
      </c>
      <c r="AI954" s="60"/>
      <c r="AJ954" s="124" t="s">
        <v>1122</v>
      </c>
      <c r="AK954" s="121"/>
      <c r="AL954" s="107"/>
      <c r="AM954" s="108"/>
      <c r="AN954" s="109"/>
      <c r="AO954" s="108"/>
      <c r="AP954" s="108"/>
      <c r="AQ954" s="108"/>
      <c r="AR954" s="108"/>
      <c r="AS954" s="108"/>
      <c r="AT954" s="108"/>
      <c r="AU954" s="108"/>
      <c r="AV954" s="108"/>
      <c r="AW954" s="108"/>
      <c r="AX954" s="108"/>
      <c r="AY954" s="108"/>
      <c r="AZ954" s="108"/>
      <c r="BA954" s="108"/>
      <c r="BB954" s="108"/>
      <c r="BC954" s="108"/>
      <c r="BD954" s="108"/>
      <c r="BE954" s="108"/>
      <c r="BF954" s="108"/>
      <c r="BG954" s="108"/>
      <c r="BH954" s="108"/>
      <c r="BI954" s="108"/>
      <c r="BJ954" s="108"/>
      <c r="BK954" s="108"/>
      <c r="BL954" s="108"/>
      <c r="BM954" s="108"/>
      <c r="BN954" s="108"/>
      <c r="BO954" s="108"/>
      <c r="BP954" s="108"/>
      <c r="BQ954" s="108"/>
      <c r="BR954" s="108"/>
      <c r="BS954" s="108"/>
      <c r="BT954" s="108"/>
      <c r="BU954" s="108"/>
      <c r="BV954" s="108"/>
      <c r="BW954" s="108"/>
      <c r="BX954" s="108">
        <v>3</v>
      </c>
      <c r="BY954" s="108">
        <f>3*510400</f>
        <v>1531200</v>
      </c>
      <c r="BZ954" s="108"/>
      <c r="CA954" s="108"/>
      <c r="CB954" s="108"/>
      <c r="CC954" s="108"/>
      <c r="CD954" s="108"/>
      <c r="CE954" s="108"/>
      <c r="CF954" s="108"/>
      <c r="CG954" s="108"/>
      <c r="CH954" s="108"/>
      <c r="CI954" s="108"/>
      <c r="CJ954" s="108"/>
      <c r="CK954" s="108"/>
      <c r="CL954" s="108">
        <v>300</v>
      </c>
      <c r="CM954" s="108">
        <f>300*18000</f>
        <v>5400000</v>
      </c>
      <c r="CN954" s="110"/>
      <c r="CO954" s="111"/>
      <c r="CP954" s="110"/>
      <c r="CQ954" s="111"/>
      <c r="CR954" s="110"/>
      <c r="CS954" s="111"/>
      <c r="CT954" s="112">
        <f t="shared" si="241"/>
        <v>6931200</v>
      </c>
      <c r="CU954" s="113">
        <v>3000</v>
      </c>
      <c r="CV954" s="114">
        <f>3000*900.16</f>
        <v>2700480</v>
      </c>
      <c r="CW954" s="115">
        <v>300</v>
      </c>
      <c r="CX954" s="116">
        <f>300*85000</f>
        <v>25500000</v>
      </c>
      <c r="CY954" s="117"/>
      <c r="CZ954" s="116"/>
      <c r="DA954" s="113"/>
      <c r="DB954" s="114"/>
      <c r="DC954" s="64"/>
      <c r="DD954" s="118">
        <v>1311</v>
      </c>
    </row>
    <row r="955" spans="1:108" s="119" customFormat="1" ht="120" outlineLevel="2">
      <c r="A955" s="178">
        <v>40453</v>
      </c>
      <c r="B955" s="164" t="s">
        <v>1477</v>
      </c>
      <c r="C955" s="164" t="s">
        <v>1457</v>
      </c>
      <c r="D955" s="166" t="s">
        <v>1262</v>
      </c>
      <c r="E955" s="163"/>
      <c r="F955" s="105"/>
      <c r="G955" s="105"/>
      <c r="H955" s="105">
        <v>2000</v>
      </c>
      <c r="I955" s="105">
        <v>400</v>
      </c>
      <c r="J955" s="105"/>
      <c r="K955" s="105">
        <v>400</v>
      </c>
      <c r="L955" s="105"/>
      <c r="M955" s="105"/>
      <c r="N955" s="105"/>
      <c r="O955" s="105"/>
      <c r="P955" s="105"/>
      <c r="Q955" s="105"/>
      <c r="R955" s="105"/>
      <c r="S955" s="105"/>
      <c r="T955" s="106"/>
      <c r="U955" s="130"/>
      <c r="V955" s="1"/>
      <c r="W955" s="68">
        <f t="shared" si="236"/>
        <v>0</v>
      </c>
      <c r="X955" s="68">
        <f t="shared" si="237"/>
        <v>0</v>
      </c>
      <c r="Y955" s="68">
        <f t="shared" si="238"/>
        <v>0</v>
      </c>
      <c r="Z955" s="68">
        <f t="shared" si="239"/>
        <v>35960000</v>
      </c>
      <c r="AA955" s="68">
        <f>5568000+26540800</f>
        <v>32108800</v>
      </c>
      <c r="AB955" s="68">
        <v>0</v>
      </c>
      <c r="AC955" s="69">
        <f t="shared" si="240"/>
        <v>68068800</v>
      </c>
      <c r="AD955" s="70">
        <f>46000000-35960000</f>
        <v>10040000</v>
      </c>
      <c r="AE955" s="63">
        <v>40454</v>
      </c>
      <c r="AF955" s="72">
        <v>51729</v>
      </c>
      <c r="AG955" s="63" t="s">
        <v>954</v>
      </c>
      <c r="AH955" s="23" t="s">
        <v>955</v>
      </c>
      <c r="AI955" s="60">
        <v>22145</v>
      </c>
      <c r="AJ955" s="124" t="s">
        <v>1122</v>
      </c>
      <c r="AK955" s="121" t="s">
        <v>2350</v>
      </c>
      <c r="AL955" s="107"/>
      <c r="AM955" s="108"/>
      <c r="AN955" s="109"/>
      <c r="AO955" s="108"/>
      <c r="AP955" s="108"/>
      <c r="AQ955" s="108"/>
      <c r="AR955" s="108"/>
      <c r="AS955" s="108"/>
      <c r="AT955" s="108"/>
      <c r="AU955" s="108"/>
      <c r="AV955" s="108"/>
      <c r="AW955" s="108"/>
      <c r="AX955" s="108"/>
      <c r="AY955" s="108"/>
      <c r="AZ955" s="108"/>
      <c r="BA955" s="108"/>
      <c r="BB955" s="108"/>
      <c r="BC955" s="108"/>
      <c r="BD955" s="108"/>
      <c r="BE955" s="108"/>
      <c r="BF955" s="108"/>
      <c r="BG955" s="108"/>
      <c r="BH955" s="108"/>
      <c r="BI955" s="108"/>
      <c r="BJ955" s="108"/>
      <c r="BK955" s="108"/>
      <c r="BL955" s="108"/>
      <c r="BM955" s="108"/>
      <c r="BN955" s="108"/>
      <c r="BO955" s="108"/>
      <c r="BP955" s="108"/>
      <c r="BQ955" s="108"/>
      <c r="BR955" s="108"/>
      <c r="BS955" s="108"/>
      <c r="BT955" s="108"/>
      <c r="BU955" s="108"/>
      <c r="BV955" s="108"/>
      <c r="BW955" s="108"/>
      <c r="BX955" s="108"/>
      <c r="BY955" s="108"/>
      <c r="BZ955" s="108"/>
      <c r="CA955" s="108"/>
      <c r="CB955" s="108"/>
      <c r="CC955" s="108"/>
      <c r="CD955" s="108"/>
      <c r="CE955" s="108"/>
      <c r="CF955" s="108"/>
      <c r="CG955" s="108"/>
      <c r="CH955" s="108"/>
      <c r="CI955" s="108"/>
      <c r="CJ955" s="108"/>
      <c r="CK955" s="108"/>
      <c r="CL955" s="108"/>
      <c r="CM955" s="108"/>
      <c r="CN955" s="110"/>
      <c r="CO955" s="111"/>
      <c r="CP955" s="110"/>
      <c r="CQ955" s="111"/>
      <c r="CR955" s="110"/>
      <c r="CS955" s="111"/>
      <c r="CT955" s="112">
        <f t="shared" si="241"/>
        <v>0</v>
      </c>
      <c r="CU955" s="113">
        <v>40000</v>
      </c>
      <c r="CV955" s="114">
        <f>40000*899</f>
        <v>35960000</v>
      </c>
      <c r="CW955" s="115"/>
      <c r="CX955" s="116"/>
      <c r="CY955" s="117"/>
      <c r="CZ955" s="116"/>
      <c r="DA955" s="113"/>
      <c r="DB955" s="114"/>
      <c r="DC955" s="64"/>
      <c r="DD955" s="118"/>
    </row>
    <row r="956" spans="1:108" s="119" customFormat="1" ht="45" outlineLevel="2">
      <c r="A956" s="181">
        <v>40464</v>
      </c>
      <c r="B956" s="176" t="s">
        <v>1477</v>
      </c>
      <c r="C956" s="176" t="s">
        <v>1457</v>
      </c>
      <c r="D956" s="182" t="s">
        <v>1262</v>
      </c>
      <c r="E956" s="169"/>
      <c r="F956" s="131"/>
      <c r="G956" s="131"/>
      <c r="H956" s="131">
        <f>60*5</f>
        <v>300</v>
      </c>
      <c r="I956" s="131">
        <v>60</v>
      </c>
      <c r="J956" s="131"/>
      <c r="K956" s="131"/>
      <c r="L956" s="131"/>
      <c r="M956" s="131"/>
      <c r="N956" s="131"/>
      <c r="O956" s="131"/>
      <c r="P956" s="131"/>
      <c r="Q956" s="131"/>
      <c r="R956" s="131"/>
      <c r="S956" s="131"/>
      <c r="T956" s="138"/>
      <c r="U956" s="130"/>
      <c r="V956" s="1">
        <v>40508</v>
      </c>
      <c r="W956" s="68">
        <f t="shared" si="236"/>
        <v>2195700</v>
      </c>
      <c r="X956" s="68">
        <f t="shared" si="237"/>
        <v>5100000</v>
      </c>
      <c r="Y956" s="68">
        <f t="shared" si="238"/>
        <v>0</v>
      </c>
      <c r="Z956" s="68">
        <f t="shared" si="239"/>
        <v>0</v>
      </c>
      <c r="AA956" s="68"/>
      <c r="AB956" s="68">
        <v>0</v>
      </c>
      <c r="AC956" s="69">
        <f t="shared" si="240"/>
        <v>7295700</v>
      </c>
      <c r="AD956" s="70">
        <v>0</v>
      </c>
      <c r="AE956" s="63">
        <v>40465</v>
      </c>
      <c r="AF956" s="72">
        <v>56167</v>
      </c>
      <c r="AG956" s="63" t="s">
        <v>954</v>
      </c>
      <c r="AH956" s="23" t="s">
        <v>955</v>
      </c>
      <c r="AI956" s="60">
        <v>56167</v>
      </c>
      <c r="AJ956" s="124" t="s">
        <v>840</v>
      </c>
      <c r="AK956" s="121" t="s">
        <v>841</v>
      </c>
      <c r="AL956" s="107"/>
      <c r="AM956" s="108"/>
      <c r="AN956" s="109"/>
      <c r="AO956" s="108"/>
      <c r="AP956" s="108"/>
      <c r="AQ956" s="108"/>
      <c r="AR956" s="108"/>
      <c r="AS956" s="108"/>
      <c r="AT956" s="108"/>
      <c r="AU956" s="108"/>
      <c r="AV956" s="108"/>
      <c r="AW956" s="108"/>
      <c r="AX956" s="108"/>
      <c r="AY956" s="108"/>
      <c r="AZ956" s="108"/>
      <c r="BA956" s="108"/>
      <c r="BB956" s="108"/>
      <c r="BC956" s="108"/>
      <c r="BD956" s="108"/>
      <c r="BE956" s="108"/>
      <c r="BF956" s="108"/>
      <c r="BG956" s="108"/>
      <c r="BH956" s="108"/>
      <c r="BI956" s="108"/>
      <c r="BJ956" s="108"/>
      <c r="BK956" s="108"/>
      <c r="BL956" s="108"/>
      <c r="BM956" s="108"/>
      <c r="BN956" s="108"/>
      <c r="BO956" s="108"/>
      <c r="BP956" s="108"/>
      <c r="BQ956" s="108"/>
      <c r="BR956" s="108"/>
      <c r="BS956" s="108"/>
      <c r="BT956" s="108"/>
      <c r="BU956" s="108"/>
      <c r="BV956" s="108"/>
      <c r="BW956" s="108"/>
      <c r="BX956" s="108"/>
      <c r="BY956" s="108"/>
      <c r="BZ956" s="108"/>
      <c r="CA956" s="108"/>
      <c r="CB956" s="108"/>
      <c r="CC956" s="108"/>
      <c r="CD956" s="108"/>
      <c r="CE956" s="108"/>
      <c r="CF956" s="108"/>
      <c r="CG956" s="108"/>
      <c r="CH956" s="108"/>
      <c r="CI956" s="108"/>
      <c r="CJ956" s="108"/>
      <c r="CK956" s="108"/>
      <c r="CL956" s="108"/>
      <c r="CM956" s="108"/>
      <c r="CN956" s="139">
        <v>60</v>
      </c>
      <c r="CO956" s="140">
        <f>60*36595</f>
        <v>2195700</v>
      </c>
      <c r="CP956" s="139"/>
      <c r="CQ956" s="140"/>
      <c r="CR956" s="139"/>
      <c r="CS956" s="140"/>
      <c r="CT956" s="112">
        <f t="shared" si="241"/>
        <v>2195700</v>
      </c>
      <c r="CU956" s="141"/>
      <c r="CV956" s="142"/>
      <c r="CW956" s="143">
        <v>60</v>
      </c>
      <c r="CX956" s="144">
        <f>60*85000</f>
        <v>5100000</v>
      </c>
      <c r="CY956" s="145"/>
      <c r="CZ956" s="144"/>
      <c r="DA956" s="141"/>
      <c r="DB956" s="142"/>
      <c r="DC956" s="64"/>
      <c r="DD956" s="126"/>
    </row>
    <row r="957" spans="1:108" s="119" customFormat="1" ht="72" outlineLevel="2">
      <c r="A957" s="178">
        <v>40465</v>
      </c>
      <c r="B957" s="164" t="s">
        <v>1477</v>
      </c>
      <c r="C957" s="164" t="s">
        <v>953</v>
      </c>
      <c r="D957" s="166" t="s">
        <v>1262</v>
      </c>
      <c r="E957" s="163"/>
      <c r="F957" s="105"/>
      <c r="G957" s="105"/>
      <c r="H957" s="105"/>
      <c r="I957" s="105"/>
      <c r="J957" s="105"/>
      <c r="K957" s="105"/>
      <c r="L957" s="105"/>
      <c r="M957" s="105"/>
      <c r="N957" s="105"/>
      <c r="O957" s="105"/>
      <c r="P957" s="105"/>
      <c r="Q957" s="105"/>
      <c r="R957" s="105"/>
      <c r="S957" s="105"/>
      <c r="T957" s="106">
        <v>28568</v>
      </c>
      <c r="U957" s="130" t="s">
        <v>65</v>
      </c>
      <c r="V957" s="1">
        <v>40511</v>
      </c>
      <c r="W957" s="68">
        <f t="shared" si="236"/>
        <v>0</v>
      </c>
      <c r="X957" s="68">
        <f t="shared" si="237"/>
        <v>0</v>
      </c>
      <c r="Y957" s="68">
        <f t="shared" si="238"/>
        <v>0</v>
      </c>
      <c r="Z957" s="68">
        <f t="shared" si="239"/>
        <v>90016000</v>
      </c>
      <c r="AA957" s="68"/>
      <c r="AB957" s="68">
        <v>0</v>
      </c>
      <c r="AC957" s="69">
        <f t="shared" si="240"/>
        <v>90016000</v>
      </c>
      <c r="AD957" s="70">
        <v>0</v>
      </c>
      <c r="AE957" s="63">
        <v>40465</v>
      </c>
      <c r="AF957" s="72">
        <v>52364</v>
      </c>
      <c r="AG957" s="63" t="s">
        <v>954</v>
      </c>
      <c r="AH957" s="23" t="s">
        <v>955</v>
      </c>
      <c r="AI957" s="60">
        <v>24569</v>
      </c>
      <c r="AJ957" s="124" t="s">
        <v>1746</v>
      </c>
      <c r="AK957" s="121" t="s">
        <v>46</v>
      </c>
      <c r="AL957" s="107"/>
      <c r="AM957" s="108"/>
      <c r="AN957" s="109"/>
      <c r="AO957" s="108"/>
      <c r="AP957" s="108"/>
      <c r="AQ957" s="108"/>
      <c r="AR957" s="108"/>
      <c r="AS957" s="108"/>
      <c r="AT957" s="108"/>
      <c r="AU957" s="108"/>
      <c r="AV957" s="108"/>
      <c r="AW957" s="108"/>
      <c r="AX957" s="108"/>
      <c r="AY957" s="108"/>
      <c r="AZ957" s="108"/>
      <c r="BA957" s="108"/>
      <c r="BB957" s="108"/>
      <c r="BC957" s="108"/>
      <c r="BD957" s="108"/>
      <c r="BE957" s="108"/>
      <c r="BF957" s="108"/>
      <c r="BG957" s="108"/>
      <c r="BH957" s="108"/>
      <c r="BI957" s="108"/>
      <c r="BJ957" s="108"/>
      <c r="BK957" s="108"/>
      <c r="BL957" s="108"/>
      <c r="BM957" s="108"/>
      <c r="BN957" s="108"/>
      <c r="BO957" s="108"/>
      <c r="BP957" s="108"/>
      <c r="BQ957" s="108"/>
      <c r="BR957" s="108"/>
      <c r="BS957" s="108"/>
      <c r="BT957" s="108"/>
      <c r="BU957" s="108"/>
      <c r="BV957" s="108"/>
      <c r="BW957" s="108"/>
      <c r="BX957" s="108"/>
      <c r="BY957" s="108"/>
      <c r="BZ957" s="108"/>
      <c r="CA957" s="108"/>
      <c r="CB957" s="108"/>
      <c r="CC957" s="108"/>
      <c r="CD957" s="108"/>
      <c r="CE957" s="108"/>
      <c r="CF957" s="108"/>
      <c r="CG957" s="108"/>
      <c r="CH957" s="108"/>
      <c r="CI957" s="108"/>
      <c r="CJ957" s="108"/>
      <c r="CK957" s="108"/>
      <c r="CL957" s="108"/>
      <c r="CM957" s="108"/>
      <c r="CN957" s="110"/>
      <c r="CO957" s="111"/>
      <c r="CP957" s="110"/>
      <c r="CQ957" s="111"/>
      <c r="CR957" s="110"/>
      <c r="CS957" s="111"/>
      <c r="CT957" s="112">
        <f t="shared" si="241"/>
        <v>0</v>
      </c>
      <c r="CU957" s="113">
        <v>100000</v>
      </c>
      <c r="CV957" s="114">
        <f>100000*900.16</f>
        <v>90016000</v>
      </c>
      <c r="CW957" s="115"/>
      <c r="CX957" s="116"/>
      <c r="CY957" s="117"/>
      <c r="CZ957" s="116"/>
      <c r="DA957" s="113"/>
      <c r="DB957" s="114"/>
      <c r="DC957" s="64"/>
      <c r="DD957" s="118"/>
    </row>
    <row r="958" spans="1:108" s="119" customFormat="1" ht="48" outlineLevel="2">
      <c r="A958" s="178">
        <v>40477</v>
      </c>
      <c r="B958" s="164" t="s">
        <v>1477</v>
      </c>
      <c r="C958" s="164" t="s">
        <v>2349</v>
      </c>
      <c r="D958" s="166" t="s">
        <v>1262</v>
      </c>
      <c r="E958" s="163"/>
      <c r="F958" s="105"/>
      <c r="G958" s="105"/>
      <c r="H958" s="105">
        <v>750</v>
      </c>
      <c r="I958" s="105">
        <v>150</v>
      </c>
      <c r="J958" s="105"/>
      <c r="K958" s="105">
        <v>150</v>
      </c>
      <c r="L958" s="105"/>
      <c r="M958" s="105"/>
      <c r="N958" s="105"/>
      <c r="O958" s="105"/>
      <c r="P958" s="105"/>
      <c r="Q958" s="105"/>
      <c r="R958" s="105"/>
      <c r="S958" s="105"/>
      <c r="T958" s="106"/>
      <c r="U958" s="130"/>
      <c r="V958" s="1"/>
      <c r="W958" s="68">
        <f t="shared" si="236"/>
        <v>0</v>
      </c>
      <c r="X958" s="68">
        <f t="shared" si="237"/>
        <v>0</v>
      </c>
      <c r="Y958" s="68">
        <f t="shared" si="238"/>
        <v>0</v>
      </c>
      <c r="Z958" s="68">
        <f t="shared" si="239"/>
        <v>0</v>
      </c>
      <c r="AA958" s="68"/>
      <c r="AB958" s="68">
        <v>0</v>
      </c>
      <c r="AC958" s="69">
        <f t="shared" si="240"/>
        <v>0</v>
      </c>
      <c r="AD958" s="70">
        <v>102940000</v>
      </c>
      <c r="AE958" s="63">
        <v>40478</v>
      </c>
      <c r="AF958" s="72"/>
      <c r="AG958" s="63" t="s">
        <v>954</v>
      </c>
      <c r="AH958" s="23" t="s">
        <v>955</v>
      </c>
      <c r="AI958" s="60"/>
      <c r="AJ958" s="124" t="s">
        <v>1608</v>
      </c>
      <c r="AK958" s="121" t="s">
        <v>2019</v>
      </c>
      <c r="AL958" s="107"/>
      <c r="AM958" s="108"/>
      <c r="AN958" s="109"/>
      <c r="AO958" s="108"/>
      <c r="AP958" s="108"/>
      <c r="AQ958" s="108"/>
      <c r="AR958" s="108"/>
      <c r="AS958" s="108"/>
      <c r="AT958" s="108"/>
      <c r="AU958" s="108"/>
      <c r="AV958" s="108"/>
      <c r="AW958" s="108"/>
      <c r="AX958" s="108"/>
      <c r="AY958" s="108"/>
      <c r="AZ958" s="108"/>
      <c r="BA958" s="108"/>
      <c r="BB958" s="108"/>
      <c r="BC958" s="108"/>
      <c r="BD958" s="108"/>
      <c r="BE958" s="108"/>
      <c r="BF958" s="108"/>
      <c r="BG958" s="108"/>
      <c r="BH958" s="108"/>
      <c r="BI958" s="108"/>
      <c r="BJ958" s="108"/>
      <c r="BK958" s="108"/>
      <c r="BL958" s="108"/>
      <c r="BM958" s="108"/>
      <c r="BN958" s="108"/>
      <c r="BO958" s="108"/>
      <c r="BP958" s="108"/>
      <c r="BQ958" s="108"/>
      <c r="BR958" s="108"/>
      <c r="BS958" s="108"/>
      <c r="BT958" s="108"/>
      <c r="BU958" s="108"/>
      <c r="BV958" s="108"/>
      <c r="BW958" s="108"/>
      <c r="BX958" s="108"/>
      <c r="BY958" s="108"/>
      <c r="BZ958" s="108"/>
      <c r="CA958" s="108"/>
      <c r="CB958" s="108"/>
      <c r="CC958" s="108"/>
      <c r="CD958" s="108"/>
      <c r="CE958" s="108"/>
      <c r="CF958" s="108"/>
      <c r="CG958" s="108"/>
      <c r="CH958" s="108"/>
      <c r="CI958" s="108"/>
      <c r="CJ958" s="108"/>
      <c r="CK958" s="108"/>
      <c r="CL958" s="108"/>
      <c r="CM958" s="108"/>
      <c r="CN958" s="110"/>
      <c r="CO958" s="111"/>
      <c r="CP958" s="110"/>
      <c r="CQ958" s="111"/>
      <c r="CR958" s="110"/>
      <c r="CS958" s="111"/>
      <c r="CT958" s="112">
        <f t="shared" si="241"/>
        <v>0</v>
      </c>
      <c r="CU958" s="113"/>
      <c r="CV958" s="114"/>
      <c r="CW958" s="115"/>
      <c r="CX958" s="116"/>
      <c r="CY958" s="117"/>
      <c r="CZ958" s="116"/>
      <c r="DA958" s="113"/>
      <c r="DB958" s="114"/>
      <c r="DC958" s="64"/>
      <c r="DD958" s="118"/>
    </row>
    <row r="959" spans="1:108" s="119" customFormat="1" ht="22.5" outlineLevel="2">
      <c r="A959" s="178">
        <v>40477</v>
      </c>
      <c r="B959" s="164" t="s">
        <v>1477</v>
      </c>
      <c r="C959" s="164" t="s">
        <v>2032</v>
      </c>
      <c r="D959" s="166" t="s">
        <v>1262</v>
      </c>
      <c r="E959" s="163">
        <v>1</v>
      </c>
      <c r="F959" s="105"/>
      <c r="G959" s="105"/>
      <c r="H959" s="105"/>
      <c r="I959" s="105"/>
      <c r="J959" s="105"/>
      <c r="K959" s="105"/>
      <c r="L959" s="105"/>
      <c r="M959" s="105"/>
      <c r="N959" s="105"/>
      <c r="O959" s="105"/>
      <c r="P959" s="105"/>
      <c r="Q959" s="105"/>
      <c r="R959" s="105"/>
      <c r="S959" s="105"/>
      <c r="T959" s="106"/>
      <c r="U959" s="130"/>
      <c r="V959" s="1"/>
      <c r="W959" s="68">
        <f t="shared" si="236"/>
        <v>0</v>
      </c>
      <c r="X959" s="68">
        <f t="shared" si="237"/>
        <v>0</v>
      </c>
      <c r="Y959" s="68">
        <f t="shared" si="238"/>
        <v>0</v>
      </c>
      <c r="Z959" s="68">
        <f t="shared" si="239"/>
        <v>0</v>
      </c>
      <c r="AA959" s="68"/>
      <c r="AB959" s="68">
        <v>0</v>
      </c>
      <c r="AC959" s="69">
        <f t="shared" si="240"/>
        <v>0</v>
      </c>
      <c r="AD959" s="70">
        <v>0</v>
      </c>
      <c r="AE959" s="63">
        <v>40478</v>
      </c>
      <c r="AF959" s="72"/>
      <c r="AG959" s="63" t="s">
        <v>938</v>
      </c>
      <c r="AH959" s="23" t="s">
        <v>939</v>
      </c>
      <c r="AI959" s="60"/>
      <c r="AJ959" s="124" t="s">
        <v>1608</v>
      </c>
      <c r="AK959" s="121" t="s">
        <v>2053</v>
      </c>
      <c r="AL959" s="107"/>
      <c r="AM959" s="108"/>
      <c r="AN959" s="109"/>
      <c r="AO959" s="108"/>
      <c r="AP959" s="108"/>
      <c r="AQ959" s="108"/>
      <c r="AR959" s="108"/>
      <c r="AS959" s="108"/>
      <c r="AT959" s="108"/>
      <c r="AU959" s="108"/>
      <c r="AV959" s="108"/>
      <c r="AW959" s="108"/>
      <c r="AX959" s="108"/>
      <c r="AY959" s="108"/>
      <c r="AZ959" s="108"/>
      <c r="BA959" s="108"/>
      <c r="BB959" s="108"/>
      <c r="BC959" s="108"/>
      <c r="BD959" s="108"/>
      <c r="BE959" s="108"/>
      <c r="BF959" s="108"/>
      <c r="BG959" s="108"/>
      <c r="BH959" s="108"/>
      <c r="BI959" s="108"/>
      <c r="BJ959" s="108"/>
      <c r="BK959" s="108"/>
      <c r="BL959" s="108"/>
      <c r="BM959" s="108"/>
      <c r="BN959" s="108"/>
      <c r="BO959" s="108"/>
      <c r="BP959" s="108"/>
      <c r="BQ959" s="108"/>
      <c r="BR959" s="108"/>
      <c r="BS959" s="108"/>
      <c r="BT959" s="108"/>
      <c r="BU959" s="108"/>
      <c r="BV959" s="108"/>
      <c r="BW959" s="108"/>
      <c r="BX959" s="108"/>
      <c r="BY959" s="108"/>
      <c r="BZ959" s="108"/>
      <c r="CA959" s="108"/>
      <c r="CB959" s="108"/>
      <c r="CC959" s="108"/>
      <c r="CD959" s="108"/>
      <c r="CE959" s="108"/>
      <c r="CF959" s="108"/>
      <c r="CG959" s="108"/>
      <c r="CH959" s="108"/>
      <c r="CI959" s="108"/>
      <c r="CJ959" s="108"/>
      <c r="CK959" s="108"/>
      <c r="CL959" s="108"/>
      <c r="CM959" s="108"/>
      <c r="CN959" s="110"/>
      <c r="CO959" s="111"/>
      <c r="CP959" s="110"/>
      <c r="CQ959" s="111"/>
      <c r="CR959" s="110"/>
      <c r="CS959" s="111"/>
      <c r="CT959" s="112">
        <f t="shared" si="241"/>
        <v>0</v>
      </c>
      <c r="CU959" s="113"/>
      <c r="CV959" s="114"/>
      <c r="CW959" s="115"/>
      <c r="CX959" s="116"/>
      <c r="CY959" s="117"/>
      <c r="CZ959" s="116"/>
      <c r="DA959" s="113"/>
      <c r="DB959" s="114"/>
      <c r="DC959" s="64"/>
      <c r="DD959" s="118"/>
    </row>
    <row r="960" spans="1:108" s="119" customFormat="1" ht="33.75" outlineLevel="2">
      <c r="A960" s="178">
        <v>40479</v>
      </c>
      <c r="B960" s="164" t="s">
        <v>1477</v>
      </c>
      <c r="C960" s="164" t="s">
        <v>1437</v>
      </c>
      <c r="D960" s="166" t="s">
        <v>1262</v>
      </c>
      <c r="E960" s="163"/>
      <c r="F960" s="105"/>
      <c r="G960" s="105"/>
      <c r="H960" s="105"/>
      <c r="I960" s="105"/>
      <c r="J960" s="105"/>
      <c r="K960" s="105"/>
      <c r="L960" s="105"/>
      <c r="M960" s="105"/>
      <c r="N960" s="105"/>
      <c r="O960" s="105"/>
      <c r="P960" s="105"/>
      <c r="Q960" s="105"/>
      <c r="R960" s="105"/>
      <c r="S960" s="105"/>
      <c r="T960" s="106"/>
      <c r="U960" s="130"/>
      <c r="V960" s="1">
        <v>40491</v>
      </c>
      <c r="W960" s="68">
        <f t="shared" si="236"/>
        <v>83000000</v>
      </c>
      <c r="X960" s="68">
        <f t="shared" si="237"/>
        <v>0</v>
      </c>
      <c r="Y960" s="68">
        <f t="shared" si="238"/>
        <v>0</v>
      </c>
      <c r="Z960" s="68">
        <f t="shared" si="239"/>
        <v>0</v>
      </c>
      <c r="AA960" s="68"/>
      <c r="AB960" s="68">
        <v>0</v>
      </c>
      <c r="AC960" s="69">
        <f t="shared" si="240"/>
        <v>83000000</v>
      </c>
      <c r="AD960" s="70">
        <v>0</v>
      </c>
      <c r="AE960" s="63">
        <v>40484</v>
      </c>
      <c r="AF960" s="72">
        <v>60484</v>
      </c>
      <c r="AG960" s="63" t="s">
        <v>954</v>
      </c>
      <c r="AH960" s="23" t="s">
        <v>955</v>
      </c>
      <c r="AI960" s="75" t="s">
        <v>2338</v>
      </c>
      <c r="AJ960" s="124" t="s">
        <v>499</v>
      </c>
      <c r="AK960" s="121" t="s">
        <v>498</v>
      </c>
      <c r="AL960" s="107"/>
      <c r="AM960" s="108"/>
      <c r="AN960" s="109"/>
      <c r="AO960" s="108"/>
      <c r="AP960" s="108"/>
      <c r="AQ960" s="108"/>
      <c r="AR960" s="108"/>
      <c r="AS960" s="108"/>
      <c r="AT960" s="108"/>
      <c r="AU960" s="108"/>
      <c r="AV960" s="108"/>
      <c r="AW960" s="108"/>
      <c r="AX960" s="108">
        <v>300</v>
      </c>
      <c r="AY960" s="108">
        <f>300*56000</f>
        <v>16800000</v>
      </c>
      <c r="AZ960" s="108"/>
      <c r="BA960" s="108"/>
      <c r="BB960" s="108"/>
      <c r="BC960" s="108"/>
      <c r="BD960" s="108"/>
      <c r="BE960" s="108"/>
      <c r="BF960" s="108"/>
      <c r="BG960" s="108"/>
      <c r="BH960" s="108"/>
      <c r="BI960" s="108"/>
      <c r="BJ960" s="108"/>
      <c r="BK960" s="108"/>
      <c r="BL960" s="108"/>
      <c r="BM960" s="108"/>
      <c r="BN960" s="108"/>
      <c r="BO960" s="108"/>
      <c r="BP960" s="108"/>
      <c r="BQ960" s="108"/>
      <c r="BR960" s="108"/>
      <c r="BS960" s="108"/>
      <c r="BT960" s="108"/>
      <c r="BU960" s="108"/>
      <c r="BV960" s="108"/>
      <c r="BW960" s="108"/>
      <c r="BX960" s="108">
        <f>6+6</f>
        <v>12</v>
      </c>
      <c r="BY960" s="108">
        <f>6*450000+6*450000</f>
        <v>5400000</v>
      </c>
      <c r="BZ960" s="108"/>
      <c r="CA960" s="108"/>
      <c r="CB960" s="108"/>
      <c r="CC960" s="108"/>
      <c r="CD960" s="108"/>
      <c r="CE960" s="108"/>
      <c r="CF960" s="108">
        <f>200+600</f>
        <v>800</v>
      </c>
      <c r="CG960" s="108">
        <f>200*18000+600*18000</f>
        <v>14400000</v>
      </c>
      <c r="CH960" s="108">
        <f>200+600</f>
        <v>800</v>
      </c>
      <c r="CI960" s="108">
        <f>200*21000+600*21000</f>
        <v>16800000</v>
      </c>
      <c r="CJ960" s="108"/>
      <c r="CK960" s="108"/>
      <c r="CL960" s="108"/>
      <c r="CM960" s="108"/>
      <c r="CN960" s="110">
        <f>200+600</f>
        <v>800</v>
      </c>
      <c r="CO960" s="111">
        <f>200*37000+600*37000</f>
        <v>29600000</v>
      </c>
      <c r="CP960" s="110"/>
      <c r="CQ960" s="111"/>
      <c r="CR960" s="110"/>
      <c r="CS960" s="111"/>
      <c r="CT960" s="112">
        <f t="shared" si="241"/>
        <v>83000000</v>
      </c>
      <c r="CU960" s="113"/>
      <c r="CV960" s="114"/>
      <c r="CW960" s="115"/>
      <c r="CX960" s="116"/>
      <c r="CY960" s="117"/>
      <c r="CZ960" s="116"/>
      <c r="DA960" s="113"/>
      <c r="DB960" s="114"/>
      <c r="DC960" s="64"/>
      <c r="DD960" s="118"/>
    </row>
    <row r="961" spans="1:108" s="119" customFormat="1" ht="22.5" outlineLevel="2">
      <c r="A961" s="178">
        <v>40480</v>
      </c>
      <c r="B961" s="164" t="s">
        <v>1477</v>
      </c>
      <c r="C961" s="164" t="s">
        <v>2025</v>
      </c>
      <c r="D961" s="166" t="s">
        <v>1262</v>
      </c>
      <c r="E961" s="163"/>
      <c r="F961" s="105"/>
      <c r="G961" s="105"/>
      <c r="H961" s="105"/>
      <c r="I961" s="105"/>
      <c r="J961" s="105"/>
      <c r="K961" s="105"/>
      <c r="L961" s="105"/>
      <c r="M961" s="105"/>
      <c r="N961" s="105"/>
      <c r="O961" s="105"/>
      <c r="P961" s="105"/>
      <c r="Q961" s="105"/>
      <c r="R961" s="105"/>
      <c r="S961" s="105"/>
      <c r="T961" s="106"/>
      <c r="U961" s="130"/>
      <c r="V961" s="1">
        <v>40505</v>
      </c>
      <c r="W961" s="68">
        <f t="shared" si="236"/>
        <v>0</v>
      </c>
      <c r="X961" s="68">
        <f t="shared" si="237"/>
        <v>0</v>
      </c>
      <c r="Y961" s="68">
        <f t="shared" si="238"/>
        <v>0</v>
      </c>
      <c r="Z961" s="68">
        <f t="shared" si="239"/>
        <v>90016000</v>
      </c>
      <c r="AA961" s="68"/>
      <c r="AB961" s="68">
        <v>0</v>
      </c>
      <c r="AC961" s="69">
        <f t="shared" si="240"/>
        <v>90016000</v>
      </c>
      <c r="AD961" s="70">
        <v>61850000</v>
      </c>
      <c r="AE961" s="63">
        <v>40479</v>
      </c>
      <c r="AF961" s="72">
        <v>59556</v>
      </c>
      <c r="AG961" s="63" t="s">
        <v>954</v>
      </c>
      <c r="AH961" s="23" t="s">
        <v>955</v>
      </c>
      <c r="AI961" s="60">
        <v>24375</v>
      </c>
      <c r="AJ961" s="124" t="s">
        <v>1476</v>
      </c>
      <c r="AK961" s="121" t="s">
        <v>2273</v>
      </c>
      <c r="AL961" s="107"/>
      <c r="AM961" s="108"/>
      <c r="AN961" s="109"/>
      <c r="AO961" s="108"/>
      <c r="AP961" s="108"/>
      <c r="AQ961" s="108"/>
      <c r="AR961" s="108"/>
      <c r="AS961" s="108"/>
      <c r="AT961" s="108"/>
      <c r="AU961" s="108"/>
      <c r="AV961" s="108"/>
      <c r="AW961" s="108"/>
      <c r="AX961" s="108"/>
      <c r="AY961" s="108"/>
      <c r="AZ961" s="108"/>
      <c r="BA961" s="108"/>
      <c r="BB961" s="108"/>
      <c r="BC961" s="108"/>
      <c r="BD961" s="108"/>
      <c r="BE961" s="108"/>
      <c r="BF961" s="108"/>
      <c r="BG961" s="108"/>
      <c r="BH961" s="108"/>
      <c r="BI961" s="108"/>
      <c r="BJ961" s="108"/>
      <c r="BK961" s="108"/>
      <c r="BL961" s="108"/>
      <c r="BM961" s="108"/>
      <c r="BN961" s="108"/>
      <c r="BO961" s="108"/>
      <c r="BP961" s="108"/>
      <c r="BQ961" s="108"/>
      <c r="BR961" s="108"/>
      <c r="BS961" s="108"/>
      <c r="BT961" s="108"/>
      <c r="BU961" s="108"/>
      <c r="BV961" s="108"/>
      <c r="BW961" s="108"/>
      <c r="BX961" s="108"/>
      <c r="BY961" s="108"/>
      <c r="BZ961" s="108"/>
      <c r="CA961" s="108"/>
      <c r="CB961" s="108"/>
      <c r="CC961" s="108"/>
      <c r="CD961" s="108"/>
      <c r="CE961" s="108"/>
      <c r="CF961" s="108"/>
      <c r="CG961" s="108"/>
      <c r="CH961" s="108"/>
      <c r="CI961" s="108"/>
      <c r="CJ961" s="108"/>
      <c r="CK961" s="108"/>
      <c r="CL961" s="108"/>
      <c r="CM961" s="108"/>
      <c r="CN961" s="110"/>
      <c r="CO961" s="111"/>
      <c r="CP961" s="110"/>
      <c r="CQ961" s="111"/>
      <c r="CR961" s="110"/>
      <c r="CS961" s="111"/>
      <c r="CT961" s="112">
        <f t="shared" si="241"/>
        <v>0</v>
      </c>
      <c r="CU961" s="113">
        <v>100000</v>
      </c>
      <c r="CV961" s="114">
        <f>100000*900.16</f>
        <v>90016000</v>
      </c>
      <c r="CW961" s="115"/>
      <c r="CX961" s="116"/>
      <c r="CY961" s="117"/>
      <c r="CZ961" s="116"/>
      <c r="DA961" s="113"/>
      <c r="DB961" s="114"/>
      <c r="DC961" s="64"/>
      <c r="DD961" s="118"/>
    </row>
    <row r="962" spans="1:108" s="119" customFormat="1" ht="45" outlineLevel="2">
      <c r="A962" s="178">
        <v>40483</v>
      </c>
      <c r="B962" s="164" t="s">
        <v>1477</v>
      </c>
      <c r="C962" s="164" t="s">
        <v>2017</v>
      </c>
      <c r="D962" s="166" t="s">
        <v>1262</v>
      </c>
      <c r="E962" s="163"/>
      <c r="F962" s="105"/>
      <c r="G962" s="105"/>
      <c r="H962" s="105">
        <v>870</v>
      </c>
      <c r="I962" s="105">
        <v>174</v>
      </c>
      <c r="J962" s="105"/>
      <c r="K962" s="105">
        <v>174</v>
      </c>
      <c r="L962" s="105"/>
      <c r="M962" s="105"/>
      <c r="N962" s="105"/>
      <c r="O962" s="105"/>
      <c r="P962" s="105"/>
      <c r="Q962" s="105"/>
      <c r="R962" s="105"/>
      <c r="S962" s="105"/>
      <c r="T962" s="106"/>
      <c r="U962" s="130"/>
      <c r="V962" s="1"/>
      <c r="W962" s="68">
        <f t="shared" si="236"/>
        <v>0</v>
      </c>
      <c r="X962" s="68">
        <f t="shared" si="237"/>
        <v>0</v>
      </c>
      <c r="Y962" s="68">
        <f t="shared" si="238"/>
        <v>0</v>
      </c>
      <c r="Z962" s="68">
        <f t="shared" si="239"/>
        <v>0</v>
      </c>
      <c r="AA962" s="68"/>
      <c r="AB962" s="68">
        <v>0</v>
      </c>
      <c r="AC962" s="69">
        <f t="shared" si="240"/>
        <v>0</v>
      </c>
      <c r="AD962" s="70">
        <v>17940000</v>
      </c>
      <c r="AE962" s="63">
        <v>40508</v>
      </c>
      <c r="AF962" s="72"/>
      <c r="AG962" s="63" t="s">
        <v>954</v>
      </c>
      <c r="AH962" s="23" t="s">
        <v>955</v>
      </c>
      <c r="AI962" s="83" t="s">
        <v>2021</v>
      </c>
      <c r="AJ962" s="124"/>
      <c r="AK962" s="121" t="s">
        <v>2018</v>
      </c>
      <c r="AL962" s="107"/>
      <c r="AM962" s="108"/>
      <c r="AN962" s="109"/>
      <c r="AO962" s="108"/>
      <c r="AP962" s="108"/>
      <c r="AQ962" s="108"/>
      <c r="AR962" s="108"/>
      <c r="AS962" s="108"/>
      <c r="AT962" s="108"/>
      <c r="AU962" s="108"/>
      <c r="AV962" s="108"/>
      <c r="AW962" s="108"/>
      <c r="AX962" s="108"/>
      <c r="AY962" s="108"/>
      <c r="AZ962" s="108"/>
      <c r="BA962" s="108"/>
      <c r="BB962" s="108"/>
      <c r="BC962" s="108"/>
      <c r="BD962" s="108"/>
      <c r="BE962" s="108"/>
      <c r="BF962" s="108"/>
      <c r="BG962" s="108"/>
      <c r="BH962" s="108"/>
      <c r="BI962" s="108"/>
      <c r="BJ962" s="108"/>
      <c r="BK962" s="108"/>
      <c r="BL962" s="108"/>
      <c r="BM962" s="108"/>
      <c r="BN962" s="108"/>
      <c r="BO962" s="108"/>
      <c r="BP962" s="108"/>
      <c r="BQ962" s="108"/>
      <c r="BR962" s="108"/>
      <c r="BS962" s="108"/>
      <c r="BT962" s="108"/>
      <c r="BU962" s="108"/>
      <c r="BV962" s="108"/>
      <c r="BW962" s="108"/>
      <c r="BX962" s="108"/>
      <c r="BY962" s="108"/>
      <c r="BZ962" s="108"/>
      <c r="CA962" s="108"/>
      <c r="CB962" s="108"/>
      <c r="CC962" s="108"/>
      <c r="CD962" s="108"/>
      <c r="CE962" s="108"/>
      <c r="CF962" s="108"/>
      <c r="CG962" s="108"/>
      <c r="CH962" s="108"/>
      <c r="CI962" s="108"/>
      <c r="CJ962" s="108"/>
      <c r="CK962" s="108"/>
      <c r="CL962" s="108"/>
      <c r="CM962" s="108"/>
      <c r="CN962" s="110"/>
      <c r="CO962" s="111"/>
      <c r="CP962" s="110"/>
      <c r="CQ962" s="111"/>
      <c r="CR962" s="110"/>
      <c r="CS962" s="111"/>
      <c r="CT962" s="112">
        <f t="shared" si="241"/>
        <v>0</v>
      </c>
      <c r="CU962" s="113"/>
      <c r="CV962" s="114"/>
      <c r="CW962" s="115"/>
      <c r="CX962" s="116"/>
      <c r="CY962" s="117"/>
      <c r="CZ962" s="116"/>
      <c r="DA962" s="113"/>
      <c r="DB962" s="114"/>
      <c r="DC962" s="64"/>
      <c r="DD962" s="118"/>
    </row>
    <row r="963" spans="1:108" s="119" customFormat="1" ht="24" outlineLevel="2">
      <c r="A963" s="178">
        <v>40507</v>
      </c>
      <c r="B963" s="164" t="s">
        <v>1477</v>
      </c>
      <c r="C963" s="164" t="s">
        <v>1503</v>
      </c>
      <c r="D963" s="166" t="s">
        <v>1262</v>
      </c>
      <c r="E963" s="163"/>
      <c r="F963" s="105"/>
      <c r="G963" s="105"/>
      <c r="H963" s="105">
        <v>2000</v>
      </c>
      <c r="I963" s="105">
        <v>400</v>
      </c>
      <c r="J963" s="105"/>
      <c r="K963" s="105">
        <v>400</v>
      </c>
      <c r="L963" s="105"/>
      <c r="M963" s="105"/>
      <c r="N963" s="105"/>
      <c r="O963" s="105"/>
      <c r="P963" s="105"/>
      <c r="Q963" s="105"/>
      <c r="R963" s="105"/>
      <c r="S963" s="105"/>
      <c r="T963" s="106"/>
      <c r="U963" s="130"/>
      <c r="V963" s="1"/>
      <c r="W963" s="68">
        <f t="shared" si="236"/>
        <v>0</v>
      </c>
      <c r="X963" s="68">
        <f t="shared" si="237"/>
        <v>0</v>
      </c>
      <c r="Y963" s="68">
        <f t="shared" si="238"/>
        <v>0</v>
      </c>
      <c r="Z963" s="68">
        <f t="shared" si="239"/>
        <v>0</v>
      </c>
      <c r="AA963" s="68"/>
      <c r="AB963" s="68">
        <v>0</v>
      </c>
      <c r="AC963" s="69">
        <f t="shared" si="240"/>
        <v>0</v>
      </c>
      <c r="AD963" s="70">
        <v>0</v>
      </c>
      <c r="AE963" s="63">
        <v>40508</v>
      </c>
      <c r="AF963" s="72"/>
      <c r="AG963" s="63" t="s">
        <v>938</v>
      </c>
      <c r="AH963" s="23" t="s">
        <v>939</v>
      </c>
      <c r="AI963" s="60"/>
      <c r="AJ963" s="124" t="s">
        <v>1608</v>
      </c>
      <c r="AK963" s="121" t="s">
        <v>355</v>
      </c>
      <c r="AL963" s="107"/>
      <c r="AM963" s="108"/>
      <c r="AN963" s="109"/>
      <c r="AO963" s="108"/>
      <c r="AP963" s="108"/>
      <c r="AQ963" s="108"/>
      <c r="AR963" s="108"/>
      <c r="AS963" s="108"/>
      <c r="AT963" s="108"/>
      <c r="AU963" s="108"/>
      <c r="AV963" s="108"/>
      <c r="AW963" s="108"/>
      <c r="AX963" s="108"/>
      <c r="AY963" s="108"/>
      <c r="AZ963" s="108"/>
      <c r="BA963" s="108"/>
      <c r="BB963" s="108"/>
      <c r="BC963" s="108"/>
      <c r="BD963" s="108"/>
      <c r="BE963" s="108"/>
      <c r="BF963" s="108"/>
      <c r="BG963" s="108"/>
      <c r="BH963" s="108"/>
      <c r="BI963" s="108"/>
      <c r="BJ963" s="108"/>
      <c r="BK963" s="108"/>
      <c r="BL963" s="108"/>
      <c r="BM963" s="108"/>
      <c r="BN963" s="108"/>
      <c r="BO963" s="108"/>
      <c r="BP963" s="108"/>
      <c r="BQ963" s="108"/>
      <c r="BR963" s="108"/>
      <c r="BS963" s="108"/>
      <c r="BT963" s="108"/>
      <c r="BU963" s="108"/>
      <c r="BV963" s="108"/>
      <c r="BW963" s="108"/>
      <c r="BX963" s="108"/>
      <c r="BY963" s="108"/>
      <c r="BZ963" s="108"/>
      <c r="CA963" s="108"/>
      <c r="CB963" s="108"/>
      <c r="CC963" s="108"/>
      <c r="CD963" s="108"/>
      <c r="CE963" s="108"/>
      <c r="CF963" s="108"/>
      <c r="CG963" s="108"/>
      <c r="CH963" s="108"/>
      <c r="CI963" s="108"/>
      <c r="CJ963" s="108"/>
      <c r="CK963" s="108"/>
      <c r="CL963" s="108"/>
      <c r="CM963" s="108"/>
      <c r="CN963" s="110"/>
      <c r="CO963" s="111"/>
      <c r="CP963" s="110"/>
      <c r="CQ963" s="111"/>
      <c r="CR963" s="110"/>
      <c r="CS963" s="111"/>
      <c r="CT963" s="112">
        <f t="shared" si="241"/>
        <v>0</v>
      </c>
      <c r="CU963" s="113"/>
      <c r="CV963" s="114"/>
      <c r="CW963" s="115"/>
      <c r="CX963" s="116"/>
      <c r="CY963" s="117"/>
      <c r="CZ963" s="116"/>
      <c r="DA963" s="113"/>
      <c r="DB963" s="114"/>
      <c r="DC963" s="64"/>
      <c r="DD963" s="118"/>
    </row>
    <row r="964" spans="1:108" s="119" customFormat="1" ht="36" outlineLevel="2">
      <c r="A964" s="178">
        <v>40507</v>
      </c>
      <c r="B964" s="164" t="s">
        <v>1477</v>
      </c>
      <c r="C964" s="164" t="s">
        <v>2027</v>
      </c>
      <c r="D964" s="166" t="s">
        <v>1262</v>
      </c>
      <c r="E964" s="163"/>
      <c r="F964" s="105"/>
      <c r="G964" s="105"/>
      <c r="H964" s="105">
        <v>3500</v>
      </c>
      <c r="I964" s="105">
        <v>700</v>
      </c>
      <c r="J964" s="105"/>
      <c r="K964" s="105">
        <v>700</v>
      </c>
      <c r="L964" s="105">
        <v>1</v>
      </c>
      <c r="M964" s="105"/>
      <c r="N964" s="105"/>
      <c r="O964" s="105"/>
      <c r="P964" s="105"/>
      <c r="Q964" s="105"/>
      <c r="R964" s="105"/>
      <c r="S964" s="105"/>
      <c r="T964" s="106"/>
      <c r="U964" s="130"/>
      <c r="V964" s="1"/>
      <c r="W964" s="68">
        <f t="shared" si="236"/>
        <v>0</v>
      </c>
      <c r="X964" s="68">
        <f t="shared" si="237"/>
        <v>0</v>
      </c>
      <c r="Y964" s="68">
        <f t="shared" si="238"/>
        <v>0</v>
      </c>
      <c r="Z964" s="68">
        <f t="shared" si="239"/>
        <v>0</v>
      </c>
      <c r="AA964" s="68"/>
      <c r="AB964" s="68">
        <v>0</v>
      </c>
      <c r="AC964" s="69">
        <f t="shared" si="240"/>
        <v>0</v>
      </c>
      <c r="AD964" s="70">
        <v>153450000</v>
      </c>
      <c r="AE964" s="63">
        <v>40508</v>
      </c>
      <c r="AF964" s="72"/>
      <c r="AG964" s="63" t="s">
        <v>954</v>
      </c>
      <c r="AH964" s="23" t="s">
        <v>955</v>
      </c>
      <c r="AI964" s="60"/>
      <c r="AJ964" s="124" t="s">
        <v>1608</v>
      </c>
      <c r="AK964" s="121" t="s">
        <v>2008</v>
      </c>
      <c r="AL964" s="107"/>
      <c r="AM964" s="108"/>
      <c r="AN964" s="109"/>
      <c r="AO964" s="108"/>
      <c r="AP964" s="108"/>
      <c r="AQ964" s="108"/>
      <c r="AR964" s="108"/>
      <c r="AS964" s="108"/>
      <c r="AT964" s="108"/>
      <c r="AU964" s="108"/>
      <c r="AV964" s="108"/>
      <c r="AW964" s="108"/>
      <c r="AX964" s="108"/>
      <c r="AY964" s="108"/>
      <c r="AZ964" s="108"/>
      <c r="BA964" s="108"/>
      <c r="BB964" s="108"/>
      <c r="BC964" s="108"/>
      <c r="BD964" s="108"/>
      <c r="BE964" s="108"/>
      <c r="BF964" s="108"/>
      <c r="BG964" s="108"/>
      <c r="BH964" s="108"/>
      <c r="BI964" s="108"/>
      <c r="BJ964" s="108"/>
      <c r="BK964" s="108"/>
      <c r="BL964" s="108"/>
      <c r="BM964" s="108"/>
      <c r="BN964" s="108"/>
      <c r="BO964" s="108"/>
      <c r="BP964" s="108"/>
      <c r="BQ964" s="108"/>
      <c r="BR964" s="108"/>
      <c r="BS964" s="108"/>
      <c r="BT964" s="108"/>
      <c r="BU964" s="108"/>
      <c r="BV964" s="108"/>
      <c r="BW964" s="108"/>
      <c r="BX964" s="108"/>
      <c r="BY964" s="108"/>
      <c r="BZ964" s="108"/>
      <c r="CA964" s="108"/>
      <c r="CB964" s="108"/>
      <c r="CC964" s="108"/>
      <c r="CD964" s="108"/>
      <c r="CE964" s="108"/>
      <c r="CF964" s="108"/>
      <c r="CG964" s="108"/>
      <c r="CH964" s="108"/>
      <c r="CI964" s="108"/>
      <c r="CJ964" s="108"/>
      <c r="CK964" s="108"/>
      <c r="CL964" s="108"/>
      <c r="CM964" s="108"/>
      <c r="CN964" s="110"/>
      <c r="CO964" s="111"/>
      <c r="CP964" s="110"/>
      <c r="CQ964" s="111"/>
      <c r="CR964" s="110"/>
      <c r="CS964" s="111"/>
      <c r="CT964" s="112">
        <f t="shared" si="241"/>
        <v>0</v>
      </c>
      <c r="CU964" s="113"/>
      <c r="CV964" s="114"/>
      <c r="CW964" s="115"/>
      <c r="CX964" s="116"/>
      <c r="CY964" s="117"/>
      <c r="CZ964" s="116"/>
      <c r="DA964" s="113"/>
      <c r="DB964" s="114"/>
      <c r="DC964" s="64"/>
      <c r="DD964" s="118"/>
    </row>
    <row r="965" spans="1:108" s="119" customFormat="1" ht="156" outlineLevel="2">
      <c r="A965" s="178">
        <v>40507</v>
      </c>
      <c r="B965" s="164" t="s">
        <v>1477</v>
      </c>
      <c r="C965" s="164" t="s">
        <v>1457</v>
      </c>
      <c r="D965" s="166" t="s">
        <v>1262</v>
      </c>
      <c r="E965" s="163"/>
      <c r="F965" s="105"/>
      <c r="G965" s="105"/>
      <c r="H965" s="105">
        <v>4800</v>
      </c>
      <c r="I965" s="105">
        <v>1200</v>
      </c>
      <c r="J965" s="105">
        <v>8</v>
      </c>
      <c r="K965" s="105">
        <v>1192</v>
      </c>
      <c r="L965" s="105"/>
      <c r="M965" s="105"/>
      <c r="N965" s="105"/>
      <c r="O965" s="105"/>
      <c r="P965" s="105"/>
      <c r="Q965" s="105"/>
      <c r="R965" s="105"/>
      <c r="S965" s="105"/>
      <c r="T965" s="106"/>
      <c r="U965" s="130"/>
      <c r="V965" s="1"/>
      <c r="W965" s="68">
        <f t="shared" si="236"/>
        <v>0</v>
      </c>
      <c r="X965" s="68">
        <f t="shared" si="237"/>
        <v>0</v>
      </c>
      <c r="Y965" s="68">
        <f t="shared" si="238"/>
        <v>0</v>
      </c>
      <c r="Z965" s="68">
        <f t="shared" si="239"/>
        <v>0</v>
      </c>
      <c r="AA965" s="68"/>
      <c r="AB965" s="68">
        <v>0</v>
      </c>
      <c r="AC965" s="69">
        <f t="shared" si="240"/>
        <v>0</v>
      </c>
      <c r="AD965" s="70">
        <v>0</v>
      </c>
      <c r="AE965" s="63">
        <v>40510</v>
      </c>
      <c r="AF965" s="72"/>
      <c r="AG965" s="63" t="s">
        <v>938</v>
      </c>
      <c r="AH965" s="23" t="s">
        <v>939</v>
      </c>
      <c r="AI965" s="60"/>
      <c r="AJ965" s="124" t="s">
        <v>1608</v>
      </c>
      <c r="AK965" s="121" t="s">
        <v>357</v>
      </c>
      <c r="AL965" s="107"/>
      <c r="AM965" s="108"/>
      <c r="AN965" s="109"/>
      <c r="AO965" s="108"/>
      <c r="AP965" s="108"/>
      <c r="AQ965" s="108"/>
      <c r="AR965" s="108"/>
      <c r="AS965" s="108"/>
      <c r="AT965" s="108"/>
      <c r="AU965" s="108"/>
      <c r="AV965" s="108"/>
      <c r="AW965" s="108"/>
      <c r="AX965" s="108"/>
      <c r="AY965" s="108"/>
      <c r="AZ965" s="108"/>
      <c r="BA965" s="108"/>
      <c r="BB965" s="108"/>
      <c r="BC965" s="108"/>
      <c r="BD965" s="108"/>
      <c r="BE965" s="108"/>
      <c r="BF965" s="108"/>
      <c r="BG965" s="108"/>
      <c r="BH965" s="108"/>
      <c r="BI965" s="108"/>
      <c r="BJ965" s="108"/>
      <c r="BK965" s="108"/>
      <c r="BL965" s="108"/>
      <c r="BM965" s="108"/>
      <c r="BN965" s="108"/>
      <c r="BO965" s="108"/>
      <c r="BP965" s="108"/>
      <c r="BQ965" s="108"/>
      <c r="BR965" s="108"/>
      <c r="BS965" s="108"/>
      <c r="BT965" s="108"/>
      <c r="BU965" s="108"/>
      <c r="BV965" s="108"/>
      <c r="BW965" s="108"/>
      <c r="BX965" s="108"/>
      <c r="BY965" s="108"/>
      <c r="BZ965" s="108"/>
      <c r="CA965" s="108"/>
      <c r="CB965" s="108"/>
      <c r="CC965" s="108"/>
      <c r="CD965" s="108"/>
      <c r="CE965" s="108"/>
      <c r="CF965" s="108"/>
      <c r="CG965" s="108"/>
      <c r="CH965" s="108"/>
      <c r="CI965" s="108"/>
      <c r="CJ965" s="108"/>
      <c r="CK965" s="108"/>
      <c r="CL965" s="108"/>
      <c r="CM965" s="108"/>
      <c r="CN965" s="110"/>
      <c r="CO965" s="111"/>
      <c r="CP965" s="110"/>
      <c r="CQ965" s="111"/>
      <c r="CR965" s="110"/>
      <c r="CS965" s="111"/>
      <c r="CT965" s="112">
        <f t="shared" si="241"/>
        <v>0</v>
      </c>
      <c r="CU965" s="113"/>
      <c r="CV965" s="114"/>
      <c r="CW965" s="115"/>
      <c r="CX965" s="116"/>
      <c r="CY965" s="117"/>
      <c r="CZ965" s="116"/>
      <c r="DA965" s="113"/>
      <c r="DB965" s="114"/>
      <c r="DC965" s="64"/>
      <c r="DD965" s="118">
        <v>1435</v>
      </c>
    </row>
    <row r="966" spans="1:108" s="119" customFormat="1" ht="24" outlineLevel="2">
      <c r="A966" s="178">
        <v>40508</v>
      </c>
      <c r="B966" s="164" t="s">
        <v>1477</v>
      </c>
      <c r="C966" s="164" t="s">
        <v>2031</v>
      </c>
      <c r="D966" s="166" t="s">
        <v>1262</v>
      </c>
      <c r="E966" s="163"/>
      <c r="F966" s="105"/>
      <c r="G966" s="105"/>
      <c r="H966" s="105">
        <v>840</v>
      </c>
      <c r="I966" s="105">
        <v>168</v>
      </c>
      <c r="J966" s="105">
        <v>20</v>
      </c>
      <c r="K966" s="105"/>
      <c r="L966" s="105"/>
      <c r="M966" s="105"/>
      <c r="N966" s="105"/>
      <c r="O966" s="105"/>
      <c r="P966" s="105"/>
      <c r="Q966" s="105"/>
      <c r="R966" s="105"/>
      <c r="S966" s="105"/>
      <c r="T966" s="106"/>
      <c r="U966" s="130"/>
      <c r="V966" s="1"/>
      <c r="W966" s="68">
        <f t="shared" si="236"/>
        <v>0</v>
      </c>
      <c r="X966" s="68">
        <f t="shared" si="237"/>
        <v>0</v>
      </c>
      <c r="Y966" s="68">
        <f t="shared" si="238"/>
        <v>0</v>
      </c>
      <c r="Z966" s="68">
        <f t="shared" si="239"/>
        <v>0</v>
      </c>
      <c r="AA966" s="68"/>
      <c r="AB966" s="68">
        <v>0</v>
      </c>
      <c r="AC966" s="69">
        <f t="shared" si="240"/>
        <v>0</v>
      </c>
      <c r="AD966" s="70">
        <v>0</v>
      </c>
      <c r="AE966" s="63">
        <v>40512</v>
      </c>
      <c r="AF966" s="72"/>
      <c r="AG966" s="63" t="s">
        <v>938</v>
      </c>
      <c r="AH966" s="23" t="s">
        <v>939</v>
      </c>
      <c r="AI966" s="60"/>
      <c r="AJ966" s="124" t="s">
        <v>1608</v>
      </c>
      <c r="AK966" s="121" t="s">
        <v>2072</v>
      </c>
      <c r="AL966" s="107"/>
      <c r="AM966" s="108"/>
      <c r="AN966" s="109"/>
      <c r="AO966" s="108"/>
      <c r="AP966" s="108"/>
      <c r="AQ966" s="108"/>
      <c r="AR966" s="108"/>
      <c r="AS966" s="108"/>
      <c r="AT966" s="108"/>
      <c r="AU966" s="108"/>
      <c r="AV966" s="108"/>
      <c r="AW966" s="108"/>
      <c r="AX966" s="108"/>
      <c r="AY966" s="108"/>
      <c r="AZ966" s="108"/>
      <c r="BA966" s="108"/>
      <c r="BB966" s="108"/>
      <c r="BC966" s="108"/>
      <c r="BD966" s="108"/>
      <c r="BE966" s="108"/>
      <c r="BF966" s="108"/>
      <c r="BG966" s="108"/>
      <c r="BH966" s="108"/>
      <c r="BI966" s="108"/>
      <c r="BJ966" s="108"/>
      <c r="BK966" s="108"/>
      <c r="BL966" s="108"/>
      <c r="BM966" s="108"/>
      <c r="BN966" s="108"/>
      <c r="BO966" s="108"/>
      <c r="BP966" s="108"/>
      <c r="BQ966" s="108"/>
      <c r="BR966" s="108"/>
      <c r="BS966" s="108"/>
      <c r="BT966" s="108"/>
      <c r="BU966" s="108"/>
      <c r="BV966" s="108"/>
      <c r="BW966" s="108"/>
      <c r="BX966" s="108"/>
      <c r="BY966" s="108"/>
      <c r="BZ966" s="108"/>
      <c r="CA966" s="108"/>
      <c r="CB966" s="108"/>
      <c r="CC966" s="108"/>
      <c r="CD966" s="108"/>
      <c r="CE966" s="108"/>
      <c r="CF966" s="108"/>
      <c r="CG966" s="108"/>
      <c r="CH966" s="108"/>
      <c r="CI966" s="108"/>
      <c r="CJ966" s="108"/>
      <c r="CK966" s="108"/>
      <c r="CL966" s="108"/>
      <c r="CM966" s="108"/>
      <c r="CN966" s="110"/>
      <c r="CO966" s="111"/>
      <c r="CP966" s="110"/>
      <c r="CQ966" s="111"/>
      <c r="CR966" s="110"/>
      <c r="CS966" s="111"/>
      <c r="CT966" s="112">
        <f t="shared" si="241"/>
        <v>0</v>
      </c>
      <c r="CU966" s="113"/>
      <c r="CV966" s="114"/>
      <c r="CW966" s="115"/>
      <c r="CX966" s="116"/>
      <c r="CY966" s="117"/>
      <c r="CZ966" s="116"/>
      <c r="DA966" s="113"/>
      <c r="DB966" s="114"/>
      <c r="DC966" s="64"/>
      <c r="DD966" s="118"/>
    </row>
    <row r="967" spans="1:108" s="119" customFormat="1" outlineLevel="2">
      <c r="A967" s="178">
        <v>40518</v>
      </c>
      <c r="B967" s="164" t="s">
        <v>1477</v>
      </c>
      <c r="C967" s="164" t="s">
        <v>1518</v>
      </c>
      <c r="D967" s="166" t="s">
        <v>1262</v>
      </c>
      <c r="E967" s="163">
        <v>1</v>
      </c>
      <c r="F967" s="105"/>
      <c r="G967" s="105"/>
      <c r="H967" s="105"/>
      <c r="I967" s="105"/>
      <c r="J967" s="105"/>
      <c r="K967" s="105"/>
      <c r="L967" s="105"/>
      <c r="M967" s="105"/>
      <c r="N967" s="105"/>
      <c r="O967" s="105"/>
      <c r="P967" s="105"/>
      <c r="Q967" s="105"/>
      <c r="R967" s="105"/>
      <c r="S967" s="105"/>
      <c r="T967" s="106"/>
      <c r="U967" s="130"/>
      <c r="V967" s="1"/>
      <c r="W967" s="68">
        <f t="shared" si="236"/>
        <v>0</v>
      </c>
      <c r="X967" s="68">
        <f t="shared" si="237"/>
        <v>0</v>
      </c>
      <c r="Y967" s="68">
        <f t="shared" si="238"/>
        <v>0</v>
      </c>
      <c r="Z967" s="68">
        <f t="shared" si="239"/>
        <v>0</v>
      </c>
      <c r="AA967" s="68"/>
      <c r="AB967" s="68">
        <v>0</v>
      </c>
      <c r="AC967" s="69">
        <f t="shared" si="240"/>
        <v>0</v>
      </c>
      <c r="AD967" s="70">
        <v>0</v>
      </c>
      <c r="AE967" s="63"/>
      <c r="AF967" s="72"/>
      <c r="AG967" s="63"/>
      <c r="AH967" s="23"/>
      <c r="AI967" s="60"/>
      <c r="AJ967" s="124"/>
      <c r="AK967" s="121"/>
      <c r="AL967" s="107"/>
      <c r="AM967" s="108"/>
      <c r="AN967" s="109"/>
      <c r="AO967" s="108"/>
      <c r="AP967" s="108"/>
      <c r="AQ967" s="108"/>
      <c r="AR967" s="108"/>
      <c r="AS967" s="108"/>
      <c r="AT967" s="108"/>
      <c r="AU967" s="108"/>
      <c r="AV967" s="108"/>
      <c r="AW967" s="108"/>
      <c r="AX967" s="108"/>
      <c r="AY967" s="108"/>
      <c r="AZ967" s="108"/>
      <c r="BA967" s="108"/>
      <c r="BB967" s="108"/>
      <c r="BC967" s="108"/>
      <c r="BD967" s="108"/>
      <c r="BE967" s="108"/>
      <c r="BF967" s="108"/>
      <c r="BG967" s="108"/>
      <c r="BH967" s="108"/>
      <c r="BI967" s="108"/>
      <c r="BJ967" s="108"/>
      <c r="BK967" s="108"/>
      <c r="BL967" s="108"/>
      <c r="BM967" s="108"/>
      <c r="BN967" s="108"/>
      <c r="BO967" s="108"/>
      <c r="BP967" s="108"/>
      <c r="BQ967" s="108"/>
      <c r="BR967" s="108"/>
      <c r="BS967" s="108"/>
      <c r="BT967" s="108"/>
      <c r="BU967" s="108"/>
      <c r="BV967" s="108"/>
      <c r="BW967" s="108"/>
      <c r="BX967" s="108"/>
      <c r="BY967" s="108"/>
      <c r="BZ967" s="108"/>
      <c r="CA967" s="108"/>
      <c r="CB967" s="108"/>
      <c r="CC967" s="108"/>
      <c r="CD967" s="108"/>
      <c r="CE967" s="108"/>
      <c r="CF967" s="108"/>
      <c r="CG967" s="108"/>
      <c r="CH967" s="108"/>
      <c r="CI967" s="108"/>
      <c r="CJ967" s="108"/>
      <c r="CK967" s="108"/>
      <c r="CL967" s="108"/>
      <c r="CM967" s="108"/>
      <c r="CN967" s="110"/>
      <c r="CO967" s="111"/>
      <c r="CP967" s="110"/>
      <c r="CQ967" s="111"/>
      <c r="CR967" s="110"/>
      <c r="CS967" s="111"/>
      <c r="CT967" s="112">
        <f t="shared" si="241"/>
        <v>0</v>
      </c>
      <c r="CU967" s="113"/>
      <c r="CV967" s="114"/>
      <c r="CW967" s="115"/>
      <c r="CX967" s="116"/>
      <c r="CY967" s="117"/>
      <c r="CZ967" s="116"/>
      <c r="DA967" s="113"/>
      <c r="DB967" s="114"/>
      <c r="DC967" s="64"/>
      <c r="DD967" s="118"/>
    </row>
    <row r="968" spans="1:108" s="119" customFormat="1" outlineLevel="2">
      <c r="A968" s="178">
        <v>40521</v>
      </c>
      <c r="B968" s="164" t="s">
        <v>1477</v>
      </c>
      <c r="C968" s="164" t="s">
        <v>1518</v>
      </c>
      <c r="D968" s="166" t="s">
        <v>435</v>
      </c>
      <c r="E968" s="163"/>
      <c r="F968" s="105"/>
      <c r="G968" s="105"/>
      <c r="H968" s="105"/>
      <c r="I968" s="105"/>
      <c r="J968" s="105"/>
      <c r="K968" s="105"/>
      <c r="L968" s="105"/>
      <c r="M968" s="105"/>
      <c r="N968" s="105"/>
      <c r="O968" s="105"/>
      <c r="P968" s="105"/>
      <c r="Q968" s="105"/>
      <c r="R968" s="105"/>
      <c r="S968" s="105"/>
      <c r="T968" s="106"/>
      <c r="U968" s="130"/>
      <c r="V968" s="1"/>
      <c r="W968" s="68">
        <f t="shared" si="236"/>
        <v>0</v>
      </c>
      <c r="X968" s="68">
        <f t="shared" si="237"/>
        <v>0</v>
      </c>
      <c r="Y968" s="68">
        <f t="shared" si="238"/>
        <v>0</v>
      </c>
      <c r="Z968" s="68">
        <f t="shared" si="239"/>
        <v>0</v>
      </c>
      <c r="AA968" s="68"/>
      <c r="AB968" s="68">
        <v>0</v>
      </c>
      <c r="AC968" s="69">
        <f t="shared" si="240"/>
        <v>0</v>
      </c>
      <c r="AD968" s="70">
        <v>0</v>
      </c>
      <c r="AE968" s="63"/>
      <c r="AF968" s="72"/>
      <c r="AG968" s="63"/>
      <c r="AH968" s="23"/>
      <c r="AI968" s="60"/>
      <c r="AJ968" s="124"/>
      <c r="AK968" s="121" t="s">
        <v>2392</v>
      </c>
      <c r="AL968" s="107"/>
      <c r="AM968" s="108"/>
      <c r="AN968" s="109"/>
      <c r="AO968" s="108"/>
      <c r="AP968" s="108"/>
      <c r="AQ968" s="108"/>
      <c r="AR968" s="108"/>
      <c r="AS968" s="108"/>
      <c r="AT968" s="108"/>
      <c r="AU968" s="108"/>
      <c r="AV968" s="108"/>
      <c r="AW968" s="108"/>
      <c r="AX968" s="108"/>
      <c r="AY968" s="108"/>
      <c r="AZ968" s="108"/>
      <c r="BA968" s="108"/>
      <c r="BB968" s="108"/>
      <c r="BC968" s="108"/>
      <c r="BD968" s="108"/>
      <c r="BE968" s="108"/>
      <c r="BF968" s="108"/>
      <c r="BG968" s="108"/>
      <c r="BH968" s="108"/>
      <c r="BI968" s="108"/>
      <c r="BJ968" s="108"/>
      <c r="BK968" s="108"/>
      <c r="BL968" s="108"/>
      <c r="BM968" s="108"/>
      <c r="BN968" s="108"/>
      <c r="BO968" s="108"/>
      <c r="BP968" s="108"/>
      <c r="BQ968" s="108"/>
      <c r="BR968" s="108"/>
      <c r="BS968" s="108"/>
      <c r="BT968" s="108"/>
      <c r="BU968" s="108"/>
      <c r="BV968" s="108"/>
      <c r="BW968" s="108"/>
      <c r="BX968" s="108"/>
      <c r="BY968" s="108"/>
      <c r="BZ968" s="108"/>
      <c r="CA968" s="108"/>
      <c r="CB968" s="108"/>
      <c r="CC968" s="108"/>
      <c r="CD968" s="108"/>
      <c r="CE968" s="108"/>
      <c r="CF968" s="108"/>
      <c r="CG968" s="108"/>
      <c r="CH968" s="108"/>
      <c r="CI968" s="108"/>
      <c r="CJ968" s="108"/>
      <c r="CK968" s="108"/>
      <c r="CL968" s="108"/>
      <c r="CM968" s="108"/>
      <c r="CN968" s="110"/>
      <c r="CO968" s="111"/>
      <c r="CP968" s="110"/>
      <c r="CQ968" s="111"/>
      <c r="CR968" s="110"/>
      <c r="CS968" s="111"/>
      <c r="CT968" s="112">
        <f t="shared" si="241"/>
        <v>0</v>
      </c>
      <c r="CU968" s="113"/>
      <c r="CV968" s="114"/>
      <c r="CW968" s="115"/>
      <c r="CX968" s="116"/>
      <c r="CY968" s="117"/>
      <c r="CZ968" s="116"/>
      <c r="DA968" s="113"/>
      <c r="DB968" s="114"/>
      <c r="DC968" s="64"/>
      <c r="DD968" s="118"/>
    </row>
    <row r="969" spans="1:108" s="119" customFormat="1" outlineLevel="2">
      <c r="A969" s="178">
        <v>40518</v>
      </c>
      <c r="B969" s="164" t="s">
        <v>1477</v>
      </c>
      <c r="C969" s="164" t="s">
        <v>2024</v>
      </c>
      <c r="D969" s="166" t="s">
        <v>435</v>
      </c>
      <c r="E969" s="163"/>
      <c r="F969" s="105"/>
      <c r="G969" s="105"/>
      <c r="H969" s="105">
        <v>150</v>
      </c>
      <c r="I969" s="105">
        <v>30</v>
      </c>
      <c r="J969" s="105">
        <v>30</v>
      </c>
      <c r="K969" s="105"/>
      <c r="L969" s="105"/>
      <c r="M969" s="105"/>
      <c r="N969" s="105"/>
      <c r="O969" s="105"/>
      <c r="P969" s="105"/>
      <c r="Q969" s="105"/>
      <c r="R969" s="105"/>
      <c r="S969" s="105"/>
      <c r="T969" s="106"/>
      <c r="U969" s="130"/>
      <c r="V969" s="1"/>
      <c r="W969" s="68">
        <f t="shared" si="236"/>
        <v>0</v>
      </c>
      <c r="X969" s="68">
        <f t="shared" si="237"/>
        <v>0</v>
      </c>
      <c r="Y969" s="68">
        <f t="shared" si="238"/>
        <v>0</v>
      </c>
      <c r="Z969" s="68">
        <f t="shared" si="239"/>
        <v>0</v>
      </c>
      <c r="AA969" s="68"/>
      <c r="AB969" s="68">
        <v>0</v>
      </c>
      <c r="AC969" s="69">
        <f t="shared" si="240"/>
        <v>0</v>
      </c>
      <c r="AD969" s="70">
        <v>0</v>
      </c>
      <c r="AE969" s="63"/>
      <c r="AF969" s="72"/>
      <c r="AG969" s="63"/>
      <c r="AH969" s="23"/>
      <c r="AI969" s="60"/>
      <c r="AJ969" s="124"/>
      <c r="AK969" s="121" t="s">
        <v>41</v>
      </c>
      <c r="AL969" s="107"/>
      <c r="AM969" s="108"/>
      <c r="AN969" s="109"/>
      <c r="AO969" s="108"/>
      <c r="AP969" s="108"/>
      <c r="AQ969" s="108"/>
      <c r="AR969" s="108"/>
      <c r="AS969" s="108"/>
      <c r="AT969" s="108"/>
      <c r="AU969" s="108"/>
      <c r="AV969" s="108"/>
      <c r="AW969" s="108"/>
      <c r="AX969" s="108"/>
      <c r="AY969" s="108"/>
      <c r="AZ969" s="108"/>
      <c r="BA969" s="108"/>
      <c r="BB969" s="108"/>
      <c r="BC969" s="108"/>
      <c r="BD969" s="108"/>
      <c r="BE969" s="108"/>
      <c r="BF969" s="108"/>
      <c r="BG969" s="108"/>
      <c r="BH969" s="108"/>
      <c r="BI969" s="108"/>
      <c r="BJ969" s="108"/>
      <c r="BK969" s="108"/>
      <c r="BL969" s="108"/>
      <c r="BM969" s="108"/>
      <c r="BN969" s="108"/>
      <c r="BO969" s="108"/>
      <c r="BP969" s="108"/>
      <c r="BQ969" s="108"/>
      <c r="BR969" s="108"/>
      <c r="BS969" s="108"/>
      <c r="BT969" s="108"/>
      <c r="BU969" s="108"/>
      <c r="BV969" s="108"/>
      <c r="BW969" s="108"/>
      <c r="BX969" s="108"/>
      <c r="BY969" s="108"/>
      <c r="BZ969" s="108"/>
      <c r="CA969" s="108"/>
      <c r="CB969" s="108"/>
      <c r="CC969" s="108"/>
      <c r="CD969" s="108"/>
      <c r="CE969" s="108"/>
      <c r="CF969" s="108"/>
      <c r="CG969" s="108"/>
      <c r="CH969" s="108"/>
      <c r="CI969" s="108"/>
      <c r="CJ969" s="108"/>
      <c r="CK969" s="108"/>
      <c r="CL969" s="108"/>
      <c r="CM969" s="108"/>
      <c r="CN969" s="110"/>
      <c r="CO969" s="111"/>
      <c r="CP969" s="110"/>
      <c r="CQ969" s="111"/>
      <c r="CR969" s="110"/>
      <c r="CS969" s="111"/>
      <c r="CT969" s="112">
        <f t="shared" si="241"/>
        <v>0</v>
      </c>
      <c r="CU969" s="113"/>
      <c r="CV969" s="114"/>
      <c r="CW969" s="115"/>
      <c r="CX969" s="116"/>
      <c r="CY969" s="117"/>
      <c r="CZ969" s="116"/>
      <c r="DA969" s="113"/>
      <c r="DB969" s="114"/>
      <c r="DC969" s="64"/>
      <c r="DD969" s="118"/>
    </row>
    <row r="970" spans="1:108" s="119" customFormat="1" ht="24.75" customHeight="1" outlineLevel="1">
      <c r="A970" s="178"/>
      <c r="B970" s="192" t="s">
        <v>2455</v>
      </c>
      <c r="C970" s="164"/>
      <c r="D970" s="166"/>
      <c r="E970" s="163">
        <f t="shared" ref="E970:T970" si="242">SUBTOTAL(9,E913:E969)</f>
        <v>5</v>
      </c>
      <c r="F970" s="105">
        <f t="shared" si="242"/>
        <v>7</v>
      </c>
      <c r="G970" s="105">
        <f t="shared" si="242"/>
        <v>0</v>
      </c>
      <c r="H970" s="105">
        <f t="shared" si="242"/>
        <v>277716</v>
      </c>
      <c r="I970" s="105">
        <f t="shared" si="242"/>
        <v>56358</v>
      </c>
      <c r="J970" s="105">
        <f t="shared" si="242"/>
        <v>82</v>
      </c>
      <c r="K970" s="105">
        <f t="shared" si="242"/>
        <v>49130</v>
      </c>
      <c r="L970" s="105">
        <f t="shared" si="242"/>
        <v>1</v>
      </c>
      <c r="M970" s="105">
        <f t="shared" si="242"/>
        <v>0</v>
      </c>
      <c r="N970" s="105">
        <f t="shared" si="242"/>
        <v>0</v>
      </c>
      <c r="O970" s="105">
        <f t="shared" si="242"/>
        <v>0</v>
      </c>
      <c r="P970" s="105">
        <f t="shared" si="242"/>
        <v>0</v>
      </c>
      <c r="Q970" s="105">
        <f t="shared" si="242"/>
        <v>0</v>
      </c>
      <c r="R970" s="105">
        <f t="shared" si="242"/>
        <v>22</v>
      </c>
      <c r="S970" s="105">
        <f t="shared" si="242"/>
        <v>0</v>
      </c>
      <c r="T970" s="106">
        <f t="shared" si="242"/>
        <v>29693</v>
      </c>
      <c r="U970" s="130"/>
      <c r="V970" s="1"/>
      <c r="W970" s="68">
        <f t="shared" ref="W970:AD970" si="243">SUBTOTAL(9,W913:W969)</f>
        <v>1371039029.8</v>
      </c>
      <c r="X970" s="68">
        <f t="shared" si="243"/>
        <v>3423020000</v>
      </c>
      <c r="Y970" s="68">
        <f t="shared" si="243"/>
        <v>34516800</v>
      </c>
      <c r="Z970" s="68">
        <f t="shared" si="243"/>
        <v>532759440</v>
      </c>
      <c r="AA970" s="68">
        <f t="shared" si="243"/>
        <v>215149600</v>
      </c>
      <c r="AB970" s="68">
        <f t="shared" si="243"/>
        <v>420361942.86000001</v>
      </c>
      <c r="AC970" s="69">
        <f t="shared" si="243"/>
        <v>5996846812.6599998</v>
      </c>
      <c r="AD970" s="70">
        <f t="shared" si="243"/>
        <v>2942185280</v>
      </c>
      <c r="AE970" s="63"/>
      <c r="AF970" s="72"/>
      <c r="AG970" s="63"/>
      <c r="AH970" s="23"/>
      <c r="AI970" s="60"/>
      <c r="AJ970" s="124"/>
      <c r="AK970" s="121"/>
      <c r="AL970" s="107"/>
      <c r="AM970" s="108"/>
      <c r="AN970" s="109"/>
      <c r="AO970" s="108"/>
      <c r="AP970" s="108"/>
      <c r="AQ970" s="108"/>
      <c r="AR970" s="108"/>
      <c r="AS970" s="108"/>
      <c r="AT970" s="108"/>
      <c r="AU970" s="108"/>
      <c r="AV970" s="108"/>
      <c r="AW970" s="108"/>
      <c r="AX970" s="108"/>
      <c r="AY970" s="108"/>
      <c r="AZ970" s="108"/>
      <c r="BA970" s="108"/>
      <c r="BB970" s="108"/>
      <c r="BC970" s="108"/>
      <c r="BD970" s="108"/>
      <c r="BE970" s="108"/>
      <c r="BF970" s="108"/>
      <c r="BG970" s="108"/>
      <c r="BH970" s="108"/>
      <c r="BI970" s="108"/>
      <c r="BJ970" s="108"/>
      <c r="BK970" s="108"/>
      <c r="BL970" s="108"/>
      <c r="BM970" s="108"/>
      <c r="BN970" s="108"/>
      <c r="BO970" s="108"/>
      <c r="BP970" s="108"/>
      <c r="BQ970" s="108"/>
      <c r="BR970" s="108"/>
      <c r="BS970" s="108"/>
      <c r="BT970" s="108"/>
      <c r="BU970" s="108"/>
      <c r="BV970" s="108"/>
      <c r="BW970" s="108"/>
      <c r="BX970" s="108"/>
      <c r="BY970" s="108"/>
      <c r="BZ970" s="108"/>
      <c r="CA970" s="108"/>
      <c r="CB970" s="108"/>
      <c r="CC970" s="108"/>
      <c r="CD970" s="108"/>
      <c r="CE970" s="108"/>
      <c r="CF970" s="108"/>
      <c r="CG970" s="108"/>
      <c r="CH970" s="108"/>
      <c r="CI970" s="108"/>
      <c r="CJ970" s="108"/>
      <c r="CK970" s="108"/>
      <c r="CL970" s="108"/>
      <c r="CM970" s="108"/>
      <c r="CN970" s="110"/>
      <c r="CO970" s="111"/>
      <c r="CP970" s="110"/>
      <c r="CQ970" s="111"/>
      <c r="CR970" s="110"/>
      <c r="CS970" s="111"/>
      <c r="CT970" s="112"/>
      <c r="CU970" s="113"/>
      <c r="CV970" s="114"/>
      <c r="CW970" s="115"/>
      <c r="CX970" s="116"/>
      <c r="CY970" s="117"/>
      <c r="CZ970" s="116"/>
      <c r="DA970" s="113"/>
      <c r="DB970" s="114"/>
      <c r="DC970" s="64"/>
      <c r="DD970" s="118"/>
    </row>
    <row r="971" spans="1:108" s="119" customFormat="1" ht="36" outlineLevel="2">
      <c r="A971" s="178">
        <v>40277</v>
      </c>
      <c r="B971" s="82" t="s">
        <v>2300</v>
      </c>
      <c r="C971" s="82" t="s">
        <v>522</v>
      </c>
      <c r="D971" s="165" t="s">
        <v>1262</v>
      </c>
      <c r="E971" s="167"/>
      <c r="F971" s="66"/>
      <c r="G971" s="66"/>
      <c r="H971" s="66"/>
      <c r="I971" s="66"/>
      <c r="J971" s="66"/>
      <c r="K971" s="66"/>
      <c r="L971" s="66"/>
      <c r="M971" s="66">
        <v>1</v>
      </c>
      <c r="N971" s="66"/>
      <c r="O971" s="66"/>
      <c r="P971" s="66"/>
      <c r="Q971" s="66"/>
      <c r="R971" s="66"/>
      <c r="S971" s="66"/>
      <c r="T971" s="67"/>
      <c r="U971" s="151"/>
      <c r="V971" s="1"/>
      <c r="W971" s="68">
        <f t="shared" ref="W971:W1015" si="244">CT971</f>
        <v>0</v>
      </c>
      <c r="X971" s="68">
        <f t="shared" ref="X971:X1015" si="245">CX971</f>
        <v>0</v>
      </c>
      <c r="Y971" s="68">
        <f t="shared" ref="Y971:Y1015" si="246">CZ971+DB971</f>
        <v>0</v>
      </c>
      <c r="Z971" s="68">
        <f t="shared" ref="Z971:Z1015" si="247">CV971</f>
        <v>0</v>
      </c>
      <c r="AA971" s="68"/>
      <c r="AB971" s="68">
        <v>0</v>
      </c>
      <c r="AC971" s="69">
        <f t="shared" ref="AC971:AC1015" si="248">W971+X971+Y971+Z971+AA971+AB971</f>
        <v>0</v>
      </c>
      <c r="AD971" s="70">
        <v>0</v>
      </c>
      <c r="AE971" s="63">
        <v>40280</v>
      </c>
      <c r="AF971" s="72"/>
      <c r="AG971" s="63" t="s">
        <v>938</v>
      </c>
      <c r="AH971" s="23" t="s">
        <v>939</v>
      </c>
      <c r="AI971" s="60"/>
      <c r="AJ971" s="133" t="s">
        <v>1608</v>
      </c>
      <c r="AK971" s="73" t="s">
        <v>523</v>
      </c>
      <c r="AL971" s="3"/>
      <c r="AM971" s="4"/>
      <c r="AN971" s="5"/>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6"/>
      <c r="CO971" s="7"/>
      <c r="CP971" s="6"/>
      <c r="CQ971" s="7"/>
      <c r="CR971" s="6"/>
      <c r="CS971" s="7"/>
      <c r="CT971" s="8">
        <f t="shared" ref="CT971:CT1015" si="249">AM971+AO971+AQ971+AS971+AU971+AW971+AY971+BA971+BC971+BE971+BG971+BI971+BK971+BM971+BO971+BQ971+BS971+BU971+BW971+BY971+CA971+CC971+CE971+CG971+CI971+CK971+CM971+CO971+CQ971+CS971</f>
        <v>0</v>
      </c>
      <c r="CU971" s="9"/>
      <c r="CV971" s="10"/>
      <c r="CW971" s="11"/>
      <c r="CX971" s="12"/>
      <c r="CY971" s="26"/>
      <c r="CZ971" s="12"/>
      <c r="DA971" s="9"/>
      <c r="DB971" s="10"/>
      <c r="DC971" s="64"/>
      <c r="DD971" s="22"/>
    </row>
    <row r="972" spans="1:108" s="119" customFormat="1" ht="60" outlineLevel="2">
      <c r="A972" s="178">
        <v>40277</v>
      </c>
      <c r="B972" s="82" t="s">
        <v>2300</v>
      </c>
      <c r="C972" s="82" t="s">
        <v>1050</v>
      </c>
      <c r="D972" s="165" t="s">
        <v>1262</v>
      </c>
      <c r="E972" s="167"/>
      <c r="F972" s="66"/>
      <c r="G972" s="66"/>
      <c r="H972" s="66">
        <f>58*5</f>
        <v>290</v>
      </c>
      <c r="I972" s="66">
        <v>58</v>
      </c>
      <c r="J972" s="66">
        <v>9</v>
      </c>
      <c r="K972" s="66">
        <v>32</v>
      </c>
      <c r="L972" s="66">
        <v>2</v>
      </c>
      <c r="M972" s="66"/>
      <c r="N972" s="66"/>
      <c r="O972" s="66">
        <v>1</v>
      </c>
      <c r="P972" s="66"/>
      <c r="Q972" s="66"/>
      <c r="R972" s="66"/>
      <c r="S972" s="66"/>
      <c r="T972" s="67">
        <v>180</v>
      </c>
      <c r="U972" s="151" t="s">
        <v>268</v>
      </c>
      <c r="V972" s="1">
        <v>40312</v>
      </c>
      <c r="W972" s="68">
        <f t="shared" si="244"/>
        <v>9165000</v>
      </c>
      <c r="X972" s="68">
        <f t="shared" si="245"/>
        <v>2550000</v>
      </c>
      <c r="Y972" s="68">
        <f t="shared" si="246"/>
        <v>0</v>
      </c>
      <c r="Z972" s="68">
        <f t="shared" si="247"/>
        <v>0</v>
      </c>
      <c r="AA972" s="68"/>
      <c r="AB972" s="68">
        <v>0</v>
      </c>
      <c r="AC972" s="69">
        <f t="shared" si="248"/>
        <v>11715000</v>
      </c>
      <c r="AD972" s="70">
        <v>0</v>
      </c>
      <c r="AE972" s="63">
        <v>40280</v>
      </c>
      <c r="AF972" s="72">
        <v>96554</v>
      </c>
      <c r="AG972" s="63" t="s">
        <v>954</v>
      </c>
      <c r="AH972" s="23" t="s">
        <v>955</v>
      </c>
      <c r="AI972" s="60">
        <v>112</v>
      </c>
      <c r="AJ972" s="133" t="s">
        <v>415</v>
      </c>
      <c r="AK972" s="73" t="s">
        <v>1264</v>
      </c>
      <c r="AL972" s="3"/>
      <c r="AM972" s="4"/>
      <c r="AN972" s="5"/>
      <c r="AO972" s="4"/>
      <c r="AP972" s="4"/>
      <c r="AQ972" s="4"/>
      <c r="AR972" s="4"/>
      <c r="AS972" s="4"/>
      <c r="AT972" s="4"/>
      <c r="AU972" s="4"/>
      <c r="AV972" s="4"/>
      <c r="AW972" s="4"/>
      <c r="AX972" s="4">
        <v>90</v>
      </c>
      <c r="AY972" s="4">
        <f>90*56000</f>
        <v>5040000</v>
      </c>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v>90</v>
      </c>
      <c r="CI972" s="4">
        <f>90*21000</f>
        <v>1890000</v>
      </c>
      <c r="CJ972" s="4"/>
      <c r="CK972" s="4"/>
      <c r="CL972" s="4"/>
      <c r="CM972" s="4"/>
      <c r="CN972" s="6">
        <v>30</v>
      </c>
      <c r="CO972" s="7">
        <f>30*38500</f>
        <v>1155000</v>
      </c>
      <c r="CP972" s="6">
        <v>30</v>
      </c>
      <c r="CQ972" s="7">
        <f>30*36000</f>
        <v>1080000</v>
      </c>
      <c r="CR972" s="6"/>
      <c r="CS972" s="7"/>
      <c r="CT972" s="8">
        <f t="shared" si="249"/>
        <v>9165000</v>
      </c>
      <c r="CU972" s="9">
        <v>3</v>
      </c>
      <c r="CV972" s="10"/>
      <c r="CW972" s="11">
        <v>30</v>
      </c>
      <c r="CX972" s="12">
        <f>30*85000</f>
        <v>2550000</v>
      </c>
      <c r="CY972" s="26"/>
      <c r="CZ972" s="12"/>
      <c r="DA972" s="9"/>
      <c r="DB972" s="10"/>
      <c r="DC972" s="64"/>
      <c r="DD972" s="22"/>
    </row>
    <row r="973" spans="1:108" s="119" customFormat="1" ht="45" outlineLevel="2">
      <c r="A973" s="178">
        <v>40277</v>
      </c>
      <c r="B973" s="82" t="s">
        <v>2300</v>
      </c>
      <c r="C973" s="82" t="s">
        <v>35</v>
      </c>
      <c r="D973" s="165" t="s">
        <v>1262</v>
      </c>
      <c r="E973" s="167"/>
      <c r="F973" s="66"/>
      <c r="G973" s="66"/>
      <c r="H973" s="66">
        <v>1225</v>
      </c>
      <c r="I973" s="66">
        <v>240</v>
      </c>
      <c r="J973" s="66"/>
      <c r="K973" s="66">
        <v>240</v>
      </c>
      <c r="L973" s="66"/>
      <c r="M973" s="66"/>
      <c r="N973" s="66"/>
      <c r="O973" s="66"/>
      <c r="P973" s="66"/>
      <c r="Q973" s="66"/>
      <c r="R973" s="66"/>
      <c r="S973" s="66"/>
      <c r="T973" s="67"/>
      <c r="U973" s="151"/>
      <c r="V973" s="1"/>
      <c r="W973" s="68">
        <f t="shared" si="244"/>
        <v>56380000</v>
      </c>
      <c r="X973" s="68">
        <f t="shared" si="245"/>
        <v>20400000</v>
      </c>
      <c r="Y973" s="68">
        <f t="shared" si="246"/>
        <v>0</v>
      </c>
      <c r="Z973" s="68">
        <f t="shared" si="247"/>
        <v>0</v>
      </c>
      <c r="AA973" s="68"/>
      <c r="AB973" s="68">
        <v>0</v>
      </c>
      <c r="AC973" s="69">
        <f t="shared" si="248"/>
        <v>76780000</v>
      </c>
      <c r="AD973" s="70">
        <v>0</v>
      </c>
      <c r="AE973" s="63">
        <v>40280</v>
      </c>
      <c r="AF973" s="72">
        <v>96554</v>
      </c>
      <c r="AG973" s="63" t="s">
        <v>954</v>
      </c>
      <c r="AH973" s="23" t="s">
        <v>955</v>
      </c>
      <c r="AI973" s="60">
        <v>112</v>
      </c>
      <c r="AJ973" s="133" t="s">
        <v>415</v>
      </c>
      <c r="AK973" s="73" t="s">
        <v>1265</v>
      </c>
      <c r="AL973" s="3"/>
      <c r="AM973" s="4"/>
      <c r="AN973" s="5"/>
      <c r="AO973" s="4"/>
      <c r="AP973" s="4"/>
      <c r="AQ973" s="4"/>
      <c r="AR973" s="4"/>
      <c r="AS973" s="4"/>
      <c r="AT973" s="4"/>
      <c r="AU973" s="4"/>
      <c r="AV973" s="4"/>
      <c r="AW973" s="4"/>
      <c r="AX973" s="4">
        <v>500</v>
      </c>
      <c r="AY973" s="4">
        <f>500*56000</f>
        <v>28000000</v>
      </c>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v>500</v>
      </c>
      <c r="CI973" s="4">
        <f>500*21000</f>
        <v>10500000</v>
      </c>
      <c r="CJ973" s="4"/>
      <c r="CK973" s="4"/>
      <c r="CL973" s="4"/>
      <c r="CM973" s="4"/>
      <c r="CN973" s="6">
        <v>240</v>
      </c>
      <c r="CO973" s="7">
        <f>240*38500</f>
        <v>9240000</v>
      </c>
      <c r="CP973" s="6">
        <v>240</v>
      </c>
      <c r="CQ973" s="7">
        <f>240*36000</f>
        <v>8640000</v>
      </c>
      <c r="CR973" s="6"/>
      <c r="CS973" s="7"/>
      <c r="CT973" s="8">
        <f t="shared" si="249"/>
        <v>56380000</v>
      </c>
      <c r="CU973" s="9">
        <v>2</v>
      </c>
      <c r="CV973" s="10"/>
      <c r="CW973" s="11">
        <v>240</v>
      </c>
      <c r="CX973" s="12">
        <f>240*85000</f>
        <v>20400000</v>
      </c>
      <c r="CY973" s="26"/>
      <c r="CZ973" s="12"/>
      <c r="DA973" s="9"/>
      <c r="DB973" s="10"/>
      <c r="DC973" s="64"/>
      <c r="DD973" s="22"/>
    </row>
    <row r="974" spans="1:108" s="119" customFormat="1" ht="36" outlineLevel="2">
      <c r="A974" s="178">
        <v>40279</v>
      </c>
      <c r="B974" s="82" t="s">
        <v>2300</v>
      </c>
      <c r="C974" s="82" t="s">
        <v>527</v>
      </c>
      <c r="D974" s="165" t="s">
        <v>1262</v>
      </c>
      <c r="E974" s="167"/>
      <c r="F974" s="66"/>
      <c r="G974" s="66"/>
      <c r="H974" s="66">
        <f>60*5</f>
        <v>300</v>
      </c>
      <c r="I974" s="66">
        <v>60</v>
      </c>
      <c r="J974" s="66"/>
      <c r="K974" s="66">
        <v>60</v>
      </c>
      <c r="L974" s="66"/>
      <c r="M974" s="66">
        <v>1</v>
      </c>
      <c r="N974" s="66"/>
      <c r="O974" s="66"/>
      <c r="P974" s="66"/>
      <c r="Q974" s="66"/>
      <c r="R974" s="66"/>
      <c r="S974" s="66"/>
      <c r="T974" s="67">
        <v>15</v>
      </c>
      <c r="U974" s="151" t="s">
        <v>1082</v>
      </c>
      <c r="V974" s="1"/>
      <c r="W974" s="68">
        <f t="shared" si="244"/>
        <v>0</v>
      </c>
      <c r="X974" s="68">
        <f t="shared" si="245"/>
        <v>0</v>
      </c>
      <c r="Y974" s="68">
        <f t="shared" si="246"/>
        <v>0</v>
      </c>
      <c r="Z974" s="68">
        <f t="shared" si="247"/>
        <v>0</v>
      </c>
      <c r="AA974" s="68"/>
      <c r="AB974" s="68">
        <v>0</v>
      </c>
      <c r="AC974" s="69">
        <f t="shared" si="248"/>
        <v>0</v>
      </c>
      <c r="AD974" s="70">
        <v>0</v>
      </c>
      <c r="AE974" s="63">
        <v>40280</v>
      </c>
      <c r="AF974" s="72"/>
      <c r="AG974" s="63" t="s">
        <v>938</v>
      </c>
      <c r="AH974" s="23" t="s">
        <v>939</v>
      </c>
      <c r="AI974" s="60"/>
      <c r="AJ974" s="133" t="s">
        <v>1608</v>
      </c>
      <c r="AK974" s="73" t="s">
        <v>1081</v>
      </c>
      <c r="AL974" s="3"/>
      <c r="AM974" s="4"/>
      <c r="AN974" s="5"/>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6"/>
      <c r="CO974" s="7"/>
      <c r="CP974" s="6"/>
      <c r="CQ974" s="7"/>
      <c r="CR974" s="6"/>
      <c r="CS974" s="7"/>
      <c r="CT974" s="8">
        <f t="shared" si="249"/>
        <v>0</v>
      </c>
      <c r="CU974" s="9"/>
      <c r="CV974" s="10"/>
      <c r="CW974" s="11"/>
      <c r="CX974" s="12"/>
      <c r="CY974" s="26"/>
      <c r="CZ974" s="12"/>
      <c r="DA974" s="9"/>
      <c r="DB974" s="10"/>
      <c r="DC974" s="64"/>
      <c r="DD974" s="22"/>
    </row>
    <row r="975" spans="1:108" s="119" customFormat="1" ht="90" outlineLevel="2">
      <c r="A975" s="178">
        <v>40284</v>
      </c>
      <c r="B975" s="82" t="s">
        <v>2300</v>
      </c>
      <c r="C975" s="82" t="s">
        <v>1223</v>
      </c>
      <c r="D975" s="165" t="s">
        <v>1262</v>
      </c>
      <c r="E975" s="167"/>
      <c r="F975" s="66"/>
      <c r="G975" s="66">
        <v>1</v>
      </c>
      <c r="H975" s="66">
        <v>6000</v>
      </c>
      <c r="I975" s="66">
        <v>1000</v>
      </c>
      <c r="J975" s="66"/>
      <c r="K975" s="66">
        <v>1000</v>
      </c>
      <c r="L975" s="66"/>
      <c r="M975" s="66">
        <v>4</v>
      </c>
      <c r="N975" s="66"/>
      <c r="O975" s="66"/>
      <c r="P975" s="66"/>
      <c r="Q975" s="66"/>
      <c r="R975" s="66"/>
      <c r="S975" s="66"/>
      <c r="T975" s="67"/>
      <c r="U975" s="151"/>
      <c r="V975" s="1">
        <v>40304</v>
      </c>
      <c r="W975" s="68">
        <f t="shared" si="244"/>
        <v>156934880</v>
      </c>
      <c r="X975" s="68">
        <f t="shared" si="245"/>
        <v>79900000</v>
      </c>
      <c r="Y975" s="68">
        <f t="shared" si="246"/>
        <v>0</v>
      </c>
      <c r="Z975" s="68">
        <f t="shared" si="247"/>
        <v>0</v>
      </c>
      <c r="AA975" s="68"/>
      <c r="AB975" s="68">
        <v>0</v>
      </c>
      <c r="AC975" s="69">
        <f t="shared" si="248"/>
        <v>236834880</v>
      </c>
      <c r="AD975" s="70">
        <v>0</v>
      </c>
      <c r="AE975" s="63">
        <v>40289</v>
      </c>
      <c r="AF975" s="72">
        <v>96792</v>
      </c>
      <c r="AG975" s="63" t="s">
        <v>954</v>
      </c>
      <c r="AH975" s="23" t="s">
        <v>955</v>
      </c>
      <c r="AI975" s="60">
        <v>98</v>
      </c>
      <c r="AJ975" s="133" t="s">
        <v>805</v>
      </c>
      <c r="AK975" s="73" t="s">
        <v>1132</v>
      </c>
      <c r="AL975" s="3"/>
      <c r="AM975" s="4"/>
      <c r="AN975" s="5"/>
      <c r="AO975" s="4"/>
      <c r="AP975" s="4"/>
      <c r="AQ975" s="4"/>
      <c r="AR975" s="4"/>
      <c r="AS975" s="4"/>
      <c r="AT975" s="4"/>
      <c r="AU975" s="4"/>
      <c r="AV975" s="4"/>
      <c r="AW975" s="4"/>
      <c r="AX975" s="4">
        <v>940</v>
      </c>
      <c r="AY975" s="4">
        <f>940*56000</f>
        <v>52640000</v>
      </c>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v>940</v>
      </c>
      <c r="CI975" s="4">
        <f>940*20000</f>
        <v>18800000</v>
      </c>
      <c r="CJ975" s="4"/>
      <c r="CK975" s="4"/>
      <c r="CL975" s="4">
        <v>940</v>
      </c>
      <c r="CM975" s="4">
        <f>940*18000</f>
        <v>16920000</v>
      </c>
      <c r="CN975" s="6">
        <v>940</v>
      </c>
      <c r="CO975" s="7">
        <f>940*36952</f>
        <v>34734880</v>
      </c>
      <c r="CP975" s="6">
        <v>940</v>
      </c>
      <c r="CQ975" s="7">
        <f>940*36000</f>
        <v>33840000</v>
      </c>
      <c r="CR975" s="6"/>
      <c r="CS975" s="7"/>
      <c r="CT975" s="8">
        <f t="shared" si="249"/>
        <v>156934880</v>
      </c>
      <c r="CU975" s="9"/>
      <c r="CV975" s="10"/>
      <c r="CW975" s="11">
        <v>940</v>
      </c>
      <c r="CX975" s="12">
        <f>940*85000</f>
        <v>79900000</v>
      </c>
      <c r="CY975" s="26"/>
      <c r="CZ975" s="12"/>
      <c r="DA975" s="9"/>
      <c r="DB975" s="10"/>
      <c r="DC975" s="64"/>
      <c r="DD975" s="22"/>
    </row>
    <row r="976" spans="1:108" s="119" customFormat="1" ht="90" outlineLevel="2">
      <c r="A976" s="178">
        <v>40284</v>
      </c>
      <c r="B976" s="82" t="s">
        <v>2300</v>
      </c>
      <c r="C976" s="82" t="s">
        <v>418</v>
      </c>
      <c r="D976" s="165" t="s">
        <v>1262</v>
      </c>
      <c r="E976" s="167"/>
      <c r="F976" s="66"/>
      <c r="G976" s="66"/>
      <c r="H976" s="66">
        <v>332</v>
      </c>
      <c r="I976" s="66">
        <v>58</v>
      </c>
      <c r="J976" s="66">
        <v>8</v>
      </c>
      <c r="K976" s="66">
        <v>50</v>
      </c>
      <c r="L976" s="66"/>
      <c r="M976" s="66"/>
      <c r="N976" s="66">
        <v>2</v>
      </c>
      <c r="O976" s="66"/>
      <c r="P976" s="66"/>
      <c r="Q976" s="66"/>
      <c r="R976" s="66"/>
      <c r="S976" s="66"/>
      <c r="T976" s="67"/>
      <c r="U976" s="151" t="s">
        <v>1133</v>
      </c>
      <c r="V976" s="1">
        <v>40304</v>
      </c>
      <c r="W976" s="68">
        <f t="shared" si="244"/>
        <v>10017120</v>
      </c>
      <c r="X976" s="68">
        <f t="shared" si="245"/>
        <v>5100000</v>
      </c>
      <c r="Y976" s="68">
        <f t="shared" si="246"/>
        <v>0</v>
      </c>
      <c r="Z976" s="68">
        <f t="shared" si="247"/>
        <v>0</v>
      </c>
      <c r="AA976" s="68"/>
      <c r="AB976" s="68">
        <v>0</v>
      </c>
      <c r="AC976" s="69">
        <f t="shared" si="248"/>
        <v>15117120</v>
      </c>
      <c r="AD976" s="70">
        <v>0</v>
      </c>
      <c r="AE976" s="63">
        <v>40289</v>
      </c>
      <c r="AF976" s="72">
        <v>96792</v>
      </c>
      <c r="AG976" s="63" t="s">
        <v>954</v>
      </c>
      <c r="AH976" s="23" t="s">
        <v>955</v>
      </c>
      <c r="AI976" s="60">
        <v>98</v>
      </c>
      <c r="AJ976" s="133" t="s">
        <v>805</v>
      </c>
      <c r="AK976" s="73" t="s">
        <v>419</v>
      </c>
      <c r="AL976" s="3"/>
      <c r="AM976" s="4"/>
      <c r="AN976" s="5"/>
      <c r="AO976" s="4"/>
      <c r="AP976" s="4"/>
      <c r="AQ976" s="4"/>
      <c r="AR976" s="4"/>
      <c r="AS976" s="4"/>
      <c r="AT976" s="4"/>
      <c r="AU976" s="4"/>
      <c r="AV976" s="4"/>
      <c r="AW976" s="4"/>
      <c r="AX976" s="4">
        <v>60</v>
      </c>
      <c r="AY976" s="4">
        <f>60*56000</f>
        <v>3360000</v>
      </c>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v>60</v>
      </c>
      <c r="CI976" s="4">
        <f>60*20000</f>
        <v>1200000</v>
      </c>
      <c r="CJ976" s="4"/>
      <c r="CK976" s="4"/>
      <c r="CL976" s="4">
        <v>60</v>
      </c>
      <c r="CM976" s="4">
        <f>60*18000</f>
        <v>1080000</v>
      </c>
      <c r="CN976" s="6">
        <v>60</v>
      </c>
      <c r="CO976" s="7">
        <f>60*36952</f>
        <v>2217120</v>
      </c>
      <c r="CP976" s="6">
        <v>60</v>
      </c>
      <c r="CQ976" s="7">
        <f>60*36000</f>
        <v>2160000</v>
      </c>
      <c r="CR976" s="6"/>
      <c r="CS976" s="7"/>
      <c r="CT976" s="8">
        <f t="shared" si="249"/>
        <v>10017120</v>
      </c>
      <c r="CU976" s="9"/>
      <c r="CV976" s="10"/>
      <c r="CW976" s="11">
        <v>60</v>
      </c>
      <c r="CX976" s="12">
        <f>60*85000</f>
        <v>5100000</v>
      </c>
      <c r="CY976" s="26"/>
      <c r="CZ976" s="12"/>
      <c r="DA976" s="9"/>
      <c r="DB976" s="10"/>
      <c r="DC976" s="64"/>
      <c r="DD976" s="22"/>
    </row>
    <row r="977" spans="1:108" s="119" customFormat="1" ht="22.5" outlineLevel="2">
      <c r="A977" s="178">
        <v>40284</v>
      </c>
      <c r="B977" s="82" t="s">
        <v>2300</v>
      </c>
      <c r="C977" s="82" t="s">
        <v>35</v>
      </c>
      <c r="D977" s="165" t="s">
        <v>1262</v>
      </c>
      <c r="E977" s="167"/>
      <c r="F977" s="66"/>
      <c r="G977" s="66"/>
      <c r="H977" s="66"/>
      <c r="I977" s="66"/>
      <c r="J977" s="66"/>
      <c r="K977" s="66"/>
      <c r="L977" s="66"/>
      <c r="M977" s="66"/>
      <c r="N977" s="66"/>
      <c r="O977" s="66"/>
      <c r="P977" s="66"/>
      <c r="Q977" s="66"/>
      <c r="R977" s="66"/>
      <c r="S977" s="66"/>
      <c r="T977" s="67"/>
      <c r="U977" s="151"/>
      <c r="V977" s="1"/>
      <c r="W977" s="68">
        <f t="shared" si="244"/>
        <v>0</v>
      </c>
      <c r="X977" s="68">
        <f t="shared" si="245"/>
        <v>0</v>
      </c>
      <c r="Y977" s="68">
        <f t="shared" si="246"/>
        <v>0</v>
      </c>
      <c r="Z977" s="68">
        <f t="shared" si="247"/>
        <v>0</v>
      </c>
      <c r="AA977" s="68"/>
      <c r="AB977" s="68">
        <v>0</v>
      </c>
      <c r="AC977" s="69">
        <f t="shared" si="248"/>
        <v>0</v>
      </c>
      <c r="AD977" s="70">
        <v>0</v>
      </c>
      <c r="AE977" s="63">
        <v>40284</v>
      </c>
      <c r="AF977" s="72"/>
      <c r="AG977" s="63" t="s">
        <v>938</v>
      </c>
      <c r="AH977" s="23" t="s">
        <v>939</v>
      </c>
      <c r="AI977" s="60"/>
      <c r="AJ977" s="133" t="s">
        <v>1608</v>
      </c>
      <c r="AK977" s="73" t="s">
        <v>1134</v>
      </c>
      <c r="AL977" s="3"/>
      <c r="AM977" s="4"/>
      <c r="AN977" s="5"/>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6"/>
      <c r="CO977" s="7"/>
      <c r="CP977" s="6"/>
      <c r="CQ977" s="7"/>
      <c r="CR977" s="6"/>
      <c r="CS977" s="7"/>
      <c r="CT977" s="8">
        <f t="shared" si="249"/>
        <v>0</v>
      </c>
      <c r="CU977" s="9"/>
      <c r="CV977" s="10"/>
      <c r="CW977" s="11"/>
      <c r="CX977" s="12"/>
      <c r="CY977" s="26"/>
      <c r="CZ977" s="12"/>
      <c r="DA977" s="9"/>
      <c r="DB977" s="10"/>
      <c r="DC977" s="64"/>
      <c r="DD977" s="22"/>
    </row>
    <row r="978" spans="1:108" s="119" customFormat="1" ht="24" outlineLevel="2">
      <c r="A978" s="178">
        <v>40295</v>
      </c>
      <c r="B978" s="82" t="s">
        <v>2300</v>
      </c>
      <c r="C978" s="82" t="s">
        <v>418</v>
      </c>
      <c r="D978" s="165" t="s">
        <v>1262</v>
      </c>
      <c r="E978" s="167"/>
      <c r="F978" s="66"/>
      <c r="G978" s="66"/>
      <c r="H978" s="66">
        <v>20</v>
      </c>
      <c r="I978" s="66">
        <v>5</v>
      </c>
      <c r="J978" s="66"/>
      <c r="K978" s="66">
        <v>5</v>
      </c>
      <c r="L978" s="66"/>
      <c r="M978" s="66"/>
      <c r="N978" s="66"/>
      <c r="O978" s="66"/>
      <c r="P978" s="66"/>
      <c r="Q978" s="66"/>
      <c r="R978" s="66"/>
      <c r="S978" s="66"/>
      <c r="T978" s="67"/>
      <c r="U978" s="151"/>
      <c r="V978" s="1"/>
      <c r="W978" s="68">
        <f t="shared" si="244"/>
        <v>0</v>
      </c>
      <c r="X978" s="68">
        <f t="shared" si="245"/>
        <v>0</v>
      </c>
      <c r="Y978" s="68">
        <f t="shared" si="246"/>
        <v>0</v>
      </c>
      <c r="Z978" s="68">
        <f t="shared" si="247"/>
        <v>0</v>
      </c>
      <c r="AA978" s="68"/>
      <c r="AB978" s="68">
        <v>0</v>
      </c>
      <c r="AC978" s="69">
        <f t="shared" si="248"/>
        <v>0</v>
      </c>
      <c r="AD978" s="70">
        <v>0</v>
      </c>
      <c r="AE978" s="63">
        <v>40302</v>
      </c>
      <c r="AF978" s="72"/>
      <c r="AG978" s="63" t="s">
        <v>938</v>
      </c>
      <c r="AH978" s="23" t="s">
        <v>939</v>
      </c>
      <c r="AI978" s="60"/>
      <c r="AJ978" s="133" t="s">
        <v>1608</v>
      </c>
      <c r="AK978" s="73" t="s">
        <v>1715</v>
      </c>
      <c r="AL978" s="3"/>
      <c r="AM978" s="4"/>
      <c r="AN978" s="5"/>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6"/>
      <c r="CO978" s="7"/>
      <c r="CP978" s="6"/>
      <c r="CQ978" s="7"/>
      <c r="CR978" s="6"/>
      <c r="CS978" s="7"/>
      <c r="CT978" s="8">
        <f t="shared" si="249"/>
        <v>0</v>
      </c>
      <c r="CU978" s="9"/>
      <c r="CV978" s="10"/>
      <c r="CW978" s="11"/>
      <c r="CX978" s="12"/>
      <c r="CY978" s="26"/>
      <c r="CZ978" s="12"/>
      <c r="DA978" s="9"/>
      <c r="DB978" s="10"/>
      <c r="DC978" s="64"/>
      <c r="DD978" s="22"/>
    </row>
    <row r="979" spans="1:108" s="119" customFormat="1" ht="96" outlineLevel="2">
      <c r="A979" s="178">
        <v>40301</v>
      </c>
      <c r="B979" s="82" t="s">
        <v>2300</v>
      </c>
      <c r="C979" s="82" t="s">
        <v>1389</v>
      </c>
      <c r="D979" s="165" t="s">
        <v>1876</v>
      </c>
      <c r="E979" s="167"/>
      <c r="F979" s="66"/>
      <c r="G979" s="66"/>
      <c r="H979" s="66"/>
      <c r="I979" s="66"/>
      <c r="J979" s="66"/>
      <c r="K979" s="66"/>
      <c r="L979" s="66"/>
      <c r="M979" s="66"/>
      <c r="N979" s="66"/>
      <c r="O979" s="66"/>
      <c r="P979" s="66"/>
      <c r="Q979" s="66"/>
      <c r="R979" s="66">
        <v>1</v>
      </c>
      <c r="S979" s="66"/>
      <c r="T979" s="67"/>
      <c r="U979" s="151"/>
      <c r="V979" s="1">
        <v>40344</v>
      </c>
      <c r="W979" s="68">
        <f t="shared" si="244"/>
        <v>0</v>
      </c>
      <c r="X979" s="68">
        <f t="shared" si="245"/>
        <v>0</v>
      </c>
      <c r="Y979" s="68">
        <f t="shared" si="246"/>
        <v>0</v>
      </c>
      <c r="Z979" s="68">
        <f t="shared" si="247"/>
        <v>0</v>
      </c>
      <c r="AA979" s="68"/>
      <c r="AB979" s="68">
        <v>110000000</v>
      </c>
      <c r="AC979" s="69">
        <f t="shared" si="248"/>
        <v>110000000</v>
      </c>
      <c r="AD979" s="70">
        <v>0</v>
      </c>
      <c r="AE979" s="63">
        <v>40333</v>
      </c>
      <c r="AF979" s="72">
        <v>98078</v>
      </c>
      <c r="AG979" s="63" t="s">
        <v>954</v>
      </c>
      <c r="AH979" s="23" t="s">
        <v>955</v>
      </c>
      <c r="AI979" s="60">
        <v>309</v>
      </c>
      <c r="AJ979" s="133" t="s">
        <v>1847</v>
      </c>
      <c r="AK979" s="81" t="s">
        <v>942</v>
      </c>
      <c r="AL979" s="3"/>
      <c r="AM979" s="4"/>
      <c r="AN979" s="5"/>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6"/>
      <c r="CO979" s="7"/>
      <c r="CP979" s="6"/>
      <c r="CQ979" s="7"/>
      <c r="CR979" s="6"/>
      <c r="CS979" s="7"/>
      <c r="CT979" s="8">
        <f t="shared" si="249"/>
        <v>0</v>
      </c>
      <c r="CU979" s="9"/>
      <c r="CV979" s="10"/>
      <c r="CW979" s="11"/>
      <c r="CX979" s="12"/>
      <c r="CY979" s="26"/>
      <c r="CZ979" s="12"/>
      <c r="DA979" s="9"/>
      <c r="DB979" s="10"/>
      <c r="DC979" s="64">
        <v>4</v>
      </c>
      <c r="DD979" s="22">
        <v>1108</v>
      </c>
    </row>
    <row r="980" spans="1:108" s="119" customFormat="1" ht="36" outlineLevel="2">
      <c r="A980" s="178">
        <v>40303</v>
      </c>
      <c r="B980" s="82" t="s">
        <v>2300</v>
      </c>
      <c r="C980" s="82" t="s">
        <v>1198</v>
      </c>
      <c r="D980" s="165" t="s">
        <v>1262</v>
      </c>
      <c r="E980" s="167"/>
      <c r="F980" s="66"/>
      <c r="G980" s="66"/>
      <c r="H980" s="66">
        <v>1500</v>
      </c>
      <c r="I980" s="66">
        <v>400</v>
      </c>
      <c r="J980" s="66"/>
      <c r="K980" s="66">
        <v>400</v>
      </c>
      <c r="L980" s="66"/>
      <c r="M980" s="66"/>
      <c r="N980" s="66"/>
      <c r="O980" s="66"/>
      <c r="P980" s="66"/>
      <c r="Q980" s="66"/>
      <c r="R980" s="66"/>
      <c r="S980" s="66"/>
      <c r="T980" s="67"/>
      <c r="U980" s="151"/>
      <c r="V980" s="1"/>
      <c r="W980" s="68">
        <f t="shared" si="244"/>
        <v>0</v>
      </c>
      <c r="X980" s="68">
        <f t="shared" si="245"/>
        <v>0</v>
      </c>
      <c r="Y980" s="68">
        <f t="shared" si="246"/>
        <v>0</v>
      </c>
      <c r="Z980" s="68">
        <f t="shared" si="247"/>
        <v>0</v>
      </c>
      <c r="AA980" s="68"/>
      <c r="AB980" s="68">
        <v>0</v>
      </c>
      <c r="AC980" s="69">
        <f t="shared" si="248"/>
        <v>0</v>
      </c>
      <c r="AD980" s="70">
        <v>0</v>
      </c>
      <c r="AE980" s="63">
        <v>40304</v>
      </c>
      <c r="AF980" s="72"/>
      <c r="AG980" s="63" t="s">
        <v>938</v>
      </c>
      <c r="AH980" s="23" t="s">
        <v>939</v>
      </c>
      <c r="AI980" s="60"/>
      <c r="AJ980" s="133" t="s">
        <v>1608</v>
      </c>
      <c r="AK980" s="73" t="s">
        <v>1599</v>
      </c>
      <c r="AL980" s="3"/>
      <c r="AM980" s="4"/>
      <c r="AN980" s="5"/>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6"/>
      <c r="CO980" s="7"/>
      <c r="CP980" s="6"/>
      <c r="CQ980" s="7"/>
      <c r="CR980" s="6"/>
      <c r="CS980" s="7"/>
      <c r="CT980" s="8">
        <f t="shared" si="249"/>
        <v>0</v>
      </c>
      <c r="CU980" s="9"/>
      <c r="CV980" s="10"/>
      <c r="CW980" s="11"/>
      <c r="CX980" s="12"/>
      <c r="CY980" s="26"/>
      <c r="CZ980" s="12"/>
      <c r="DA980" s="9"/>
      <c r="DB980" s="10"/>
      <c r="DC980" s="64"/>
      <c r="DD980" s="22"/>
    </row>
    <row r="981" spans="1:108" s="119" customFormat="1" ht="24" outlineLevel="2">
      <c r="A981" s="178">
        <v>40325</v>
      </c>
      <c r="B981" s="82" t="s">
        <v>2300</v>
      </c>
      <c r="C981" s="82" t="s">
        <v>1402</v>
      </c>
      <c r="D981" s="165" t="s">
        <v>1262</v>
      </c>
      <c r="E981" s="167"/>
      <c r="F981" s="66"/>
      <c r="G981" s="66"/>
      <c r="H981" s="66">
        <v>250</v>
      </c>
      <c r="I981" s="66">
        <v>50</v>
      </c>
      <c r="J981" s="66"/>
      <c r="K981" s="66">
        <v>50</v>
      </c>
      <c r="L981" s="66"/>
      <c r="M981" s="66"/>
      <c r="N981" s="66"/>
      <c r="O981" s="66"/>
      <c r="P981" s="66"/>
      <c r="Q981" s="66"/>
      <c r="R981" s="66"/>
      <c r="S981" s="66"/>
      <c r="T981" s="67"/>
      <c r="U981" s="151"/>
      <c r="V981" s="1"/>
      <c r="W981" s="68">
        <f t="shared" si="244"/>
        <v>0</v>
      </c>
      <c r="X981" s="68">
        <f t="shared" si="245"/>
        <v>0</v>
      </c>
      <c r="Y981" s="68">
        <f t="shared" si="246"/>
        <v>0</v>
      </c>
      <c r="Z981" s="68">
        <f t="shared" si="247"/>
        <v>0</v>
      </c>
      <c r="AA981" s="68"/>
      <c r="AB981" s="68">
        <v>0</v>
      </c>
      <c r="AC981" s="69">
        <f t="shared" si="248"/>
        <v>0</v>
      </c>
      <c r="AD981" s="70">
        <v>0</v>
      </c>
      <c r="AE981" s="63">
        <v>40326</v>
      </c>
      <c r="AF981" s="72"/>
      <c r="AG981" s="63" t="s">
        <v>938</v>
      </c>
      <c r="AH981" s="23" t="s">
        <v>939</v>
      </c>
      <c r="AI981" s="60"/>
      <c r="AJ981" s="133" t="s">
        <v>1608</v>
      </c>
      <c r="AK981" s="73" t="s">
        <v>1403</v>
      </c>
      <c r="AL981" s="3"/>
      <c r="AM981" s="4"/>
      <c r="AN981" s="5"/>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6"/>
      <c r="CO981" s="7"/>
      <c r="CP981" s="6"/>
      <c r="CQ981" s="7"/>
      <c r="CR981" s="6"/>
      <c r="CS981" s="7"/>
      <c r="CT981" s="8">
        <f t="shared" si="249"/>
        <v>0</v>
      </c>
      <c r="CU981" s="9"/>
      <c r="CV981" s="10"/>
      <c r="CW981" s="11"/>
      <c r="CX981" s="12"/>
      <c r="CY981" s="26"/>
      <c r="CZ981" s="12"/>
      <c r="DA981" s="9"/>
      <c r="DB981" s="10"/>
      <c r="DC981" s="64"/>
      <c r="DD981" s="22"/>
    </row>
    <row r="982" spans="1:108" s="119" customFormat="1" ht="60" outlineLevel="2">
      <c r="A982" s="178">
        <v>40325</v>
      </c>
      <c r="B982" s="82" t="s">
        <v>2300</v>
      </c>
      <c r="C982" s="82" t="s">
        <v>1408</v>
      </c>
      <c r="D982" s="165" t="s">
        <v>1262</v>
      </c>
      <c r="E982" s="167"/>
      <c r="F982" s="66"/>
      <c r="G982" s="66"/>
      <c r="H982" s="66">
        <v>200</v>
      </c>
      <c r="I982" s="66">
        <v>40</v>
      </c>
      <c r="J982" s="66"/>
      <c r="K982" s="66">
        <v>40</v>
      </c>
      <c r="L982" s="66"/>
      <c r="M982" s="66"/>
      <c r="N982" s="66"/>
      <c r="O982" s="66"/>
      <c r="P982" s="66"/>
      <c r="Q982" s="66"/>
      <c r="R982" s="66"/>
      <c r="S982" s="66"/>
      <c r="T982" s="67"/>
      <c r="U982" s="151"/>
      <c r="V982" s="1">
        <v>40357</v>
      </c>
      <c r="W982" s="68">
        <f t="shared" si="244"/>
        <v>0</v>
      </c>
      <c r="X982" s="68">
        <f t="shared" si="245"/>
        <v>0</v>
      </c>
      <c r="Y982" s="68">
        <f t="shared" si="246"/>
        <v>0</v>
      </c>
      <c r="Z982" s="68">
        <f t="shared" si="247"/>
        <v>0</v>
      </c>
      <c r="AA982" s="68"/>
      <c r="AB982" s="68">
        <v>95000000</v>
      </c>
      <c r="AC982" s="69">
        <f t="shared" si="248"/>
        <v>95000000</v>
      </c>
      <c r="AD982" s="70">
        <v>0</v>
      </c>
      <c r="AE982" s="63">
        <v>40340</v>
      </c>
      <c r="AF982" s="72">
        <v>98226</v>
      </c>
      <c r="AG982" s="63" t="s">
        <v>954</v>
      </c>
      <c r="AH982" s="23" t="s">
        <v>955</v>
      </c>
      <c r="AI982" s="60">
        <v>21591</v>
      </c>
      <c r="AJ982" s="133" t="s">
        <v>1409</v>
      </c>
      <c r="AK982" s="73" t="s">
        <v>1410</v>
      </c>
      <c r="AL982" s="3"/>
      <c r="AM982" s="4"/>
      <c r="AN982" s="5"/>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6"/>
      <c r="CO982" s="7"/>
      <c r="CP982" s="6"/>
      <c r="CQ982" s="7"/>
      <c r="CR982" s="6"/>
      <c r="CS982" s="7"/>
      <c r="CT982" s="8">
        <f t="shared" si="249"/>
        <v>0</v>
      </c>
      <c r="CU982" s="9"/>
      <c r="CV982" s="10"/>
      <c r="CW982" s="11"/>
      <c r="CX982" s="12"/>
      <c r="CY982" s="26"/>
      <c r="CZ982" s="12"/>
      <c r="DA982" s="9"/>
      <c r="DB982" s="10"/>
      <c r="DC982" s="64">
        <v>4</v>
      </c>
      <c r="DD982" s="22"/>
    </row>
    <row r="983" spans="1:108" s="119" customFormat="1" ht="24" outlineLevel="2">
      <c r="A983" s="178">
        <v>40335</v>
      </c>
      <c r="B983" s="82" t="s">
        <v>2300</v>
      </c>
      <c r="C983" s="82" t="s">
        <v>2301</v>
      </c>
      <c r="D983" s="165" t="s">
        <v>1262</v>
      </c>
      <c r="E983" s="167">
        <v>1</v>
      </c>
      <c r="F983" s="66"/>
      <c r="G983" s="66"/>
      <c r="H983" s="66"/>
      <c r="I983" s="66"/>
      <c r="J983" s="66"/>
      <c r="K983" s="66"/>
      <c r="L983" s="66"/>
      <c r="M983" s="66"/>
      <c r="N983" s="66"/>
      <c r="O983" s="66"/>
      <c r="P983" s="66"/>
      <c r="Q983" s="66"/>
      <c r="R983" s="66"/>
      <c r="S983" s="66"/>
      <c r="T983" s="67"/>
      <c r="U983" s="151"/>
      <c r="V983" s="1"/>
      <c r="W983" s="68">
        <f t="shared" si="244"/>
        <v>0</v>
      </c>
      <c r="X983" s="68">
        <f t="shared" si="245"/>
        <v>0</v>
      </c>
      <c r="Y983" s="68">
        <f t="shared" si="246"/>
        <v>0</v>
      </c>
      <c r="Z983" s="68">
        <f t="shared" si="247"/>
        <v>0</v>
      </c>
      <c r="AA983" s="68"/>
      <c r="AB983" s="68">
        <v>0</v>
      </c>
      <c r="AC983" s="69">
        <f t="shared" si="248"/>
        <v>0</v>
      </c>
      <c r="AD983" s="70">
        <v>0</v>
      </c>
      <c r="AE983" s="63">
        <v>40336</v>
      </c>
      <c r="AF983" s="72"/>
      <c r="AG983" s="63" t="s">
        <v>938</v>
      </c>
      <c r="AH983" s="23" t="s">
        <v>939</v>
      </c>
      <c r="AI983" s="60"/>
      <c r="AJ983" s="133" t="s">
        <v>1608</v>
      </c>
      <c r="AK983" s="73" t="s">
        <v>1674</v>
      </c>
      <c r="AL983" s="3"/>
      <c r="AM983" s="4"/>
      <c r="AN983" s="5"/>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6"/>
      <c r="CO983" s="7"/>
      <c r="CP983" s="6"/>
      <c r="CQ983" s="7"/>
      <c r="CR983" s="6"/>
      <c r="CS983" s="7"/>
      <c r="CT983" s="8">
        <f t="shared" si="249"/>
        <v>0</v>
      </c>
      <c r="CU983" s="9"/>
      <c r="CV983" s="10"/>
      <c r="CW983" s="11"/>
      <c r="CX983" s="12"/>
      <c r="CY983" s="26"/>
      <c r="CZ983" s="12"/>
      <c r="DA983" s="9"/>
      <c r="DB983" s="10"/>
      <c r="DC983" s="64"/>
      <c r="DD983" s="22"/>
    </row>
    <row r="984" spans="1:108" s="119" customFormat="1" ht="84" outlineLevel="2">
      <c r="A984" s="178">
        <v>40344</v>
      </c>
      <c r="B984" s="82" t="s">
        <v>2300</v>
      </c>
      <c r="C984" s="82" t="s">
        <v>843</v>
      </c>
      <c r="D984" s="165" t="s">
        <v>1182</v>
      </c>
      <c r="E984" s="167"/>
      <c r="F984" s="66"/>
      <c r="G984" s="66"/>
      <c r="H984" s="66"/>
      <c r="I984" s="66"/>
      <c r="J984" s="66"/>
      <c r="K984" s="66"/>
      <c r="L984" s="66">
        <v>4</v>
      </c>
      <c r="M984" s="66"/>
      <c r="N984" s="66"/>
      <c r="O984" s="66"/>
      <c r="P984" s="66"/>
      <c r="Q984" s="66"/>
      <c r="R984" s="66"/>
      <c r="S984" s="66"/>
      <c r="T984" s="67"/>
      <c r="U984" s="151"/>
      <c r="V984" s="1"/>
      <c r="W984" s="68">
        <f t="shared" si="244"/>
        <v>0</v>
      </c>
      <c r="X984" s="68">
        <f t="shared" si="245"/>
        <v>0</v>
      </c>
      <c r="Y984" s="68">
        <f t="shared" si="246"/>
        <v>0</v>
      </c>
      <c r="Z984" s="68">
        <f t="shared" si="247"/>
        <v>0</v>
      </c>
      <c r="AA984" s="68"/>
      <c r="AB984" s="68">
        <v>0</v>
      </c>
      <c r="AC984" s="69">
        <f t="shared" si="248"/>
        <v>0</v>
      </c>
      <c r="AD984" s="70">
        <v>0</v>
      </c>
      <c r="AE984" s="63">
        <v>40357</v>
      </c>
      <c r="AF984" s="72">
        <v>31133</v>
      </c>
      <c r="AG984" s="63" t="s">
        <v>954</v>
      </c>
      <c r="AH984" s="23" t="s">
        <v>939</v>
      </c>
      <c r="AI984" s="60"/>
      <c r="AJ984" s="133"/>
      <c r="AK984" s="73" t="s">
        <v>249</v>
      </c>
      <c r="AL984" s="3"/>
      <c r="AM984" s="4"/>
      <c r="AN984" s="5"/>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6"/>
      <c r="CO984" s="7"/>
      <c r="CP984" s="6"/>
      <c r="CQ984" s="7"/>
      <c r="CR984" s="6"/>
      <c r="CS984" s="7"/>
      <c r="CT984" s="8">
        <f t="shared" si="249"/>
        <v>0</v>
      </c>
      <c r="CU984" s="9"/>
      <c r="CV984" s="10"/>
      <c r="CW984" s="11"/>
      <c r="CX984" s="12"/>
      <c r="CY984" s="26"/>
      <c r="CZ984" s="12"/>
      <c r="DA984" s="9"/>
      <c r="DB984" s="10"/>
      <c r="DC984" s="64"/>
      <c r="DD984" s="22"/>
    </row>
    <row r="985" spans="1:108" s="119" customFormat="1" ht="24" outlineLevel="2">
      <c r="A985" s="178">
        <v>40347</v>
      </c>
      <c r="B985" s="82" t="s">
        <v>2300</v>
      </c>
      <c r="C985" s="82" t="s">
        <v>1050</v>
      </c>
      <c r="D985" s="165" t="s">
        <v>1262</v>
      </c>
      <c r="E985" s="167"/>
      <c r="F985" s="66"/>
      <c r="G985" s="66"/>
      <c r="H985" s="66">
        <v>100</v>
      </c>
      <c r="I985" s="66">
        <v>20</v>
      </c>
      <c r="J985" s="66"/>
      <c r="K985" s="66">
        <v>20</v>
      </c>
      <c r="L985" s="66"/>
      <c r="M985" s="66"/>
      <c r="N985" s="66"/>
      <c r="O985" s="66"/>
      <c r="P985" s="66"/>
      <c r="Q985" s="66"/>
      <c r="R985" s="66"/>
      <c r="S985" s="66"/>
      <c r="T985" s="67"/>
      <c r="U985" s="151" t="s">
        <v>1676</v>
      </c>
      <c r="V985" s="1"/>
      <c r="W985" s="68">
        <f t="shared" si="244"/>
        <v>0</v>
      </c>
      <c r="X985" s="68">
        <f t="shared" si="245"/>
        <v>0</v>
      </c>
      <c r="Y985" s="68">
        <f t="shared" si="246"/>
        <v>0</v>
      </c>
      <c r="Z985" s="68">
        <f t="shared" si="247"/>
        <v>0</v>
      </c>
      <c r="AA985" s="68"/>
      <c r="AB985" s="68">
        <v>0</v>
      </c>
      <c r="AC985" s="69">
        <f t="shared" si="248"/>
        <v>0</v>
      </c>
      <c r="AD985" s="70">
        <v>0</v>
      </c>
      <c r="AE985" s="63">
        <v>40350</v>
      </c>
      <c r="AF985" s="72"/>
      <c r="AG985" s="63" t="s">
        <v>938</v>
      </c>
      <c r="AH985" s="23" t="s">
        <v>939</v>
      </c>
      <c r="AI985" s="60"/>
      <c r="AJ985" s="133" t="s">
        <v>1608</v>
      </c>
      <c r="AK985" s="73" t="s">
        <v>1395</v>
      </c>
      <c r="AL985" s="3"/>
      <c r="AM985" s="4"/>
      <c r="AN985" s="5"/>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6"/>
      <c r="CO985" s="7"/>
      <c r="CP985" s="6"/>
      <c r="CQ985" s="7"/>
      <c r="CR985" s="6"/>
      <c r="CS985" s="7"/>
      <c r="CT985" s="8">
        <f t="shared" si="249"/>
        <v>0</v>
      </c>
      <c r="CU985" s="9"/>
      <c r="CV985" s="10"/>
      <c r="CW985" s="11"/>
      <c r="CX985" s="12"/>
      <c r="CY985" s="26"/>
      <c r="CZ985" s="12"/>
      <c r="DA985" s="9"/>
      <c r="DB985" s="10"/>
      <c r="DC985" s="64"/>
      <c r="DD985" s="22"/>
    </row>
    <row r="986" spans="1:108" s="119" customFormat="1" ht="84" outlineLevel="2">
      <c r="A986" s="178">
        <v>40354</v>
      </c>
      <c r="B986" s="82" t="s">
        <v>2300</v>
      </c>
      <c r="C986" s="82" t="s">
        <v>1198</v>
      </c>
      <c r="D986" s="165" t="s">
        <v>1262</v>
      </c>
      <c r="E986" s="167"/>
      <c r="F986" s="66"/>
      <c r="G986" s="66"/>
      <c r="H986" s="66">
        <v>487</v>
      </c>
      <c r="I986" s="66">
        <v>108</v>
      </c>
      <c r="J986" s="66">
        <v>1</v>
      </c>
      <c r="K986" s="66">
        <v>107</v>
      </c>
      <c r="L986" s="66"/>
      <c r="M986" s="66"/>
      <c r="N986" s="66"/>
      <c r="O986" s="66"/>
      <c r="P986" s="66"/>
      <c r="Q986" s="66"/>
      <c r="R986" s="66"/>
      <c r="S986" s="66"/>
      <c r="T986" s="67"/>
      <c r="U986" s="151"/>
      <c r="V986" s="1"/>
      <c r="W986" s="68">
        <f t="shared" si="244"/>
        <v>0</v>
      </c>
      <c r="X986" s="68">
        <f t="shared" si="245"/>
        <v>0</v>
      </c>
      <c r="Y986" s="68">
        <f t="shared" si="246"/>
        <v>0</v>
      </c>
      <c r="Z986" s="68">
        <f t="shared" si="247"/>
        <v>0</v>
      </c>
      <c r="AA986" s="68"/>
      <c r="AB986" s="68">
        <v>0</v>
      </c>
      <c r="AC986" s="69">
        <f t="shared" si="248"/>
        <v>0</v>
      </c>
      <c r="AD986" s="70">
        <v>0</v>
      </c>
      <c r="AE986" s="63">
        <v>40357</v>
      </c>
      <c r="AF986" s="72"/>
      <c r="AG986" s="63" t="s">
        <v>938</v>
      </c>
      <c r="AH986" s="23" t="s">
        <v>939</v>
      </c>
      <c r="AI986" s="60"/>
      <c r="AJ986" s="133" t="s">
        <v>1608</v>
      </c>
      <c r="AK986" s="73" t="s">
        <v>1451</v>
      </c>
      <c r="AL986" s="3"/>
      <c r="AM986" s="4"/>
      <c r="AN986" s="5"/>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6"/>
      <c r="CO986" s="7"/>
      <c r="CP986" s="6"/>
      <c r="CQ986" s="7"/>
      <c r="CR986" s="6"/>
      <c r="CS986" s="7"/>
      <c r="CT986" s="8">
        <f t="shared" si="249"/>
        <v>0</v>
      </c>
      <c r="CU986" s="9"/>
      <c r="CV986" s="10"/>
      <c r="CW986" s="11"/>
      <c r="CX986" s="12"/>
      <c r="CY986" s="26"/>
      <c r="CZ986" s="12"/>
      <c r="DA986" s="9"/>
      <c r="DB986" s="10"/>
      <c r="DC986" s="64"/>
      <c r="DD986" s="22">
        <v>1129</v>
      </c>
    </row>
    <row r="987" spans="1:108" s="119" customFormat="1" ht="22.5" outlineLevel="2">
      <c r="A987" s="178">
        <v>40354</v>
      </c>
      <c r="B987" s="82" t="s">
        <v>2300</v>
      </c>
      <c r="C987" s="82" t="s">
        <v>1198</v>
      </c>
      <c r="D987" s="165" t="s">
        <v>1182</v>
      </c>
      <c r="E987" s="167">
        <v>1</v>
      </c>
      <c r="F987" s="66">
        <v>3</v>
      </c>
      <c r="G987" s="66"/>
      <c r="H987" s="66"/>
      <c r="I987" s="66"/>
      <c r="J987" s="66"/>
      <c r="K987" s="66"/>
      <c r="L987" s="66">
        <v>1</v>
      </c>
      <c r="M987" s="66"/>
      <c r="N987" s="66"/>
      <c r="O987" s="66"/>
      <c r="P987" s="66"/>
      <c r="Q987" s="66"/>
      <c r="R987" s="66"/>
      <c r="S987" s="66"/>
      <c r="T987" s="67"/>
      <c r="U987" s="151"/>
      <c r="V987" s="1"/>
      <c r="W987" s="68">
        <f t="shared" si="244"/>
        <v>0</v>
      </c>
      <c r="X987" s="68">
        <f t="shared" si="245"/>
        <v>0</v>
      </c>
      <c r="Y987" s="68">
        <f t="shared" si="246"/>
        <v>0</v>
      </c>
      <c r="Z987" s="68">
        <f t="shared" si="247"/>
        <v>0</v>
      </c>
      <c r="AA987" s="68"/>
      <c r="AB987" s="68">
        <v>0</v>
      </c>
      <c r="AC987" s="69">
        <f t="shared" si="248"/>
        <v>0</v>
      </c>
      <c r="AD987" s="70">
        <v>0</v>
      </c>
      <c r="AE987" s="63">
        <v>40357</v>
      </c>
      <c r="AF987" s="72"/>
      <c r="AG987" s="63" t="s">
        <v>938</v>
      </c>
      <c r="AH987" s="23" t="s">
        <v>939</v>
      </c>
      <c r="AI987" s="60"/>
      <c r="AJ987" s="133" t="s">
        <v>1608</v>
      </c>
      <c r="AK987" s="73" t="s">
        <v>1452</v>
      </c>
      <c r="AL987" s="3"/>
      <c r="AM987" s="4"/>
      <c r="AN987" s="5"/>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6"/>
      <c r="CO987" s="7"/>
      <c r="CP987" s="6"/>
      <c r="CQ987" s="7"/>
      <c r="CR987" s="6"/>
      <c r="CS987" s="7"/>
      <c r="CT987" s="8">
        <f t="shared" si="249"/>
        <v>0</v>
      </c>
      <c r="CU987" s="9"/>
      <c r="CV987" s="10"/>
      <c r="CW987" s="11"/>
      <c r="CX987" s="12"/>
      <c r="CY987" s="26"/>
      <c r="CZ987" s="12"/>
      <c r="DA987" s="9"/>
      <c r="DB987" s="10"/>
      <c r="DC987" s="64"/>
      <c r="DD987" s="22"/>
    </row>
    <row r="988" spans="1:108" s="119" customFormat="1" outlineLevel="2">
      <c r="A988" s="178">
        <v>40358</v>
      </c>
      <c r="B988" s="82" t="s">
        <v>2300</v>
      </c>
      <c r="C988" s="82" t="s">
        <v>858</v>
      </c>
      <c r="D988" s="165" t="s">
        <v>1262</v>
      </c>
      <c r="E988" s="167"/>
      <c r="F988" s="66"/>
      <c r="G988" s="66"/>
      <c r="H988" s="66">
        <v>40</v>
      </c>
      <c r="I988" s="66">
        <v>8</v>
      </c>
      <c r="J988" s="66"/>
      <c r="K988" s="66">
        <v>8</v>
      </c>
      <c r="L988" s="66"/>
      <c r="M988" s="66"/>
      <c r="N988" s="66"/>
      <c r="O988" s="66"/>
      <c r="P988" s="66"/>
      <c r="Q988" s="66"/>
      <c r="R988" s="66"/>
      <c r="S988" s="66"/>
      <c r="T988" s="67"/>
      <c r="U988" s="151"/>
      <c r="V988" s="1"/>
      <c r="W988" s="68">
        <f t="shared" si="244"/>
        <v>0</v>
      </c>
      <c r="X988" s="68">
        <f t="shared" si="245"/>
        <v>0</v>
      </c>
      <c r="Y988" s="68">
        <f t="shared" si="246"/>
        <v>0</v>
      </c>
      <c r="Z988" s="68">
        <f t="shared" si="247"/>
        <v>0</v>
      </c>
      <c r="AA988" s="68"/>
      <c r="AB988" s="68">
        <v>0</v>
      </c>
      <c r="AC988" s="69">
        <f t="shared" si="248"/>
        <v>0</v>
      </c>
      <c r="AD988" s="70">
        <v>0</v>
      </c>
      <c r="AE988" s="63">
        <v>40360</v>
      </c>
      <c r="AF988" s="72"/>
      <c r="AG988" s="63" t="s">
        <v>938</v>
      </c>
      <c r="AH988" s="23" t="s">
        <v>939</v>
      </c>
      <c r="AI988" s="60"/>
      <c r="AJ988" s="133" t="s">
        <v>1608</v>
      </c>
      <c r="AK988" s="73" t="s">
        <v>859</v>
      </c>
      <c r="AL988" s="3"/>
      <c r="AM988" s="4"/>
      <c r="AN988" s="5"/>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6"/>
      <c r="CO988" s="7"/>
      <c r="CP988" s="6"/>
      <c r="CQ988" s="7"/>
      <c r="CR988" s="6"/>
      <c r="CS988" s="7"/>
      <c r="CT988" s="8">
        <f t="shared" si="249"/>
        <v>0</v>
      </c>
      <c r="CU988" s="9"/>
      <c r="CV988" s="10"/>
      <c r="CW988" s="11"/>
      <c r="CX988" s="12"/>
      <c r="CY988" s="26"/>
      <c r="CZ988" s="12"/>
      <c r="DA988" s="9"/>
      <c r="DB988" s="10"/>
      <c r="DC988" s="64"/>
      <c r="DD988" s="22"/>
    </row>
    <row r="989" spans="1:108" s="119" customFormat="1" ht="24" outlineLevel="2">
      <c r="A989" s="178">
        <v>40371</v>
      </c>
      <c r="B989" s="82" t="s">
        <v>2300</v>
      </c>
      <c r="C989" s="82" t="s">
        <v>1198</v>
      </c>
      <c r="D989" s="165" t="s">
        <v>1262</v>
      </c>
      <c r="E989" s="167"/>
      <c r="F989" s="66"/>
      <c r="G989" s="66"/>
      <c r="H989" s="66">
        <v>18</v>
      </c>
      <c r="I989" s="66">
        <v>3</v>
      </c>
      <c r="J989" s="66"/>
      <c r="K989" s="66">
        <v>3</v>
      </c>
      <c r="L989" s="66"/>
      <c r="M989" s="66"/>
      <c r="N989" s="66"/>
      <c r="O989" s="66"/>
      <c r="P989" s="66"/>
      <c r="Q989" s="66"/>
      <c r="R989" s="66"/>
      <c r="S989" s="66"/>
      <c r="T989" s="67"/>
      <c r="U989" s="151"/>
      <c r="V989" s="1"/>
      <c r="W989" s="68">
        <f t="shared" si="244"/>
        <v>0</v>
      </c>
      <c r="X989" s="68">
        <f t="shared" si="245"/>
        <v>0</v>
      </c>
      <c r="Y989" s="68">
        <f t="shared" si="246"/>
        <v>0</v>
      </c>
      <c r="Z989" s="68">
        <f t="shared" si="247"/>
        <v>0</v>
      </c>
      <c r="AA989" s="68"/>
      <c r="AB989" s="68">
        <v>0</v>
      </c>
      <c r="AC989" s="69">
        <f t="shared" si="248"/>
        <v>0</v>
      </c>
      <c r="AD989" s="70">
        <v>0</v>
      </c>
      <c r="AE989" s="63">
        <v>40343</v>
      </c>
      <c r="AF989" s="72"/>
      <c r="AG989" s="63" t="s">
        <v>938</v>
      </c>
      <c r="AH989" s="23" t="s">
        <v>939</v>
      </c>
      <c r="AI989" s="60"/>
      <c r="AJ989" s="133" t="s">
        <v>1608</v>
      </c>
      <c r="AK989" s="73" t="s">
        <v>790</v>
      </c>
      <c r="AL989" s="3"/>
      <c r="AM989" s="4"/>
      <c r="AN989" s="5"/>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6"/>
      <c r="CO989" s="7"/>
      <c r="CP989" s="6"/>
      <c r="CQ989" s="7"/>
      <c r="CR989" s="6"/>
      <c r="CS989" s="7"/>
      <c r="CT989" s="8">
        <f t="shared" si="249"/>
        <v>0</v>
      </c>
      <c r="CU989" s="9"/>
      <c r="CV989" s="10"/>
      <c r="CW989" s="11"/>
      <c r="CX989" s="12"/>
      <c r="CY989" s="26"/>
      <c r="CZ989" s="12"/>
      <c r="DA989" s="9"/>
      <c r="DB989" s="10"/>
      <c r="DC989" s="64"/>
      <c r="DD989" s="22"/>
    </row>
    <row r="990" spans="1:108" s="119" customFormat="1" ht="24" outlineLevel="2">
      <c r="A990" s="178">
        <v>40381</v>
      </c>
      <c r="B990" s="82" t="s">
        <v>2300</v>
      </c>
      <c r="C990" s="82" t="s">
        <v>1161</v>
      </c>
      <c r="D990" s="165" t="s">
        <v>1182</v>
      </c>
      <c r="E990" s="167"/>
      <c r="F990" s="66"/>
      <c r="G990" s="66"/>
      <c r="H990" s="66"/>
      <c r="I990" s="66"/>
      <c r="J990" s="66"/>
      <c r="K990" s="66"/>
      <c r="L990" s="66">
        <v>1</v>
      </c>
      <c r="M990" s="66"/>
      <c r="N990" s="66"/>
      <c r="O990" s="66"/>
      <c r="P990" s="66"/>
      <c r="Q990" s="66"/>
      <c r="R990" s="66"/>
      <c r="S990" s="66"/>
      <c r="T990" s="67"/>
      <c r="U990" s="151"/>
      <c r="V990" s="1"/>
      <c r="W990" s="68">
        <f t="shared" si="244"/>
        <v>0</v>
      </c>
      <c r="X990" s="68">
        <f t="shared" si="245"/>
        <v>0</v>
      </c>
      <c r="Y990" s="68">
        <f t="shared" si="246"/>
        <v>0</v>
      </c>
      <c r="Z990" s="68">
        <f t="shared" si="247"/>
        <v>0</v>
      </c>
      <c r="AA990" s="68"/>
      <c r="AB990" s="68">
        <v>0</v>
      </c>
      <c r="AC990" s="69">
        <f t="shared" si="248"/>
        <v>0</v>
      </c>
      <c r="AD990" s="70">
        <v>0</v>
      </c>
      <c r="AE990" s="63">
        <v>40385</v>
      </c>
      <c r="AF990" s="72"/>
      <c r="AG990" s="63" t="s">
        <v>938</v>
      </c>
      <c r="AH990" s="23" t="s">
        <v>939</v>
      </c>
      <c r="AI990" s="60"/>
      <c r="AJ990" s="133" t="s">
        <v>1608</v>
      </c>
      <c r="AK990" s="73" t="s">
        <v>1162</v>
      </c>
      <c r="AL990" s="3"/>
      <c r="AM990" s="4"/>
      <c r="AN990" s="5"/>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6"/>
      <c r="CO990" s="7"/>
      <c r="CP990" s="6"/>
      <c r="CQ990" s="7"/>
      <c r="CR990" s="6"/>
      <c r="CS990" s="7"/>
      <c r="CT990" s="8">
        <f t="shared" si="249"/>
        <v>0</v>
      </c>
      <c r="CU990" s="9"/>
      <c r="CV990" s="10"/>
      <c r="CW990" s="11"/>
      <c r="CX990" s="12"/>
      <c r="CY990" s="26"/>
      <c r="CZ990" s="12"/>
      <c r="DA990" s="9"/>
      <c r="DB990" s="10"/>
      <c r="DC990" s="64"/>
      <c r="DD990" s="22">
        <v>1177</v>
      </c>
    </row>
    <row r="991" spans="1:108" s="119" customFormat="1" ht="24" outlineLevel="2">
      <c r="A991" s="178">
        <v>40382</v>
      </c>
      <c r="B991" s="82" t="s">
        <v>2300</v>
      </c>
      <c r="C991" s="82" t="s">
        <v>1198</v>
      </c>
      <c r="D991" s="165" t="s">
        <v>1182</v>
      </c>
      <c r="E991" s="167"/>
      <c r="F991" s="66"/>
      <c r="G991" s="66"/>
      <c r="H991" s="66"/>
      <c r="I991" s="66"/>
      <c r="J991" s="66"/>
      <c r="K991" s="66"/>
      <c r="L991" s="66">
        <v>1</v>
      </c>
      <c r="M991" s="66"/>
      <c r="N991" s="66"/>
      <c r="O991" s="66"/>
      <c r="P991" s="66"/>
      <c r="Q991" s="66"/>
      <c r="R991" s="66"/>
      <c r="S991" s="66"/>
      <c r="T991" s="67"/>
      <c r="U991" s="151"/>
      <c r="V991" s="1"/>
      <c r="W991" s="68">
        <f t="shared" si="244"/>
        <v>0</v>
      </c>
      <c r="X991" s="68">
        <f t="shared" si="245"/>
        <v>0</v>
      </c>
      <c r="Y991" s="68">
        <f t="shared" si="246"/>
        <v>0</v>
      </c>
      <c r="Z991" s="68">
        <f t="shared" si="247"/>
        <v>0</v>
      </c>
      <c r="AA991" s="68"/>
      <c r="AB991" s="68">
        <v>0</v>
      </c>
      <c r="AC991" s="69">
        <f t="shared" si="248"/>
        <v>0</v>
      </c>
      <c r="AD991" s="70">
        <v>0</v>
      </c>
      <c r="AE991" s="63">
        <v>40385</v>
      </c>
      <c r="AF991" s="72"/>
      <c r="AG991" s="63" t="s">
        <v>938</v>
      </c>
      <c r="AH991" s="23" t="s">
        <v>939</v>
      </c>
      <c r="AI991" s="60"/>
      <c r="AJ991" s="133" t="s">
        <v>1608</v>
      </c>
      <c r="AK991" s="73" t="s">
        <v>1163</v>
      </c>
      <c r="AL991" s="3"/>
      <c r="AM991" s="4"/>
      <c r="AN991" s="5"/>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6"/>
      <c r="CO991" s="7"/>
      <c r="CP991" s="6"/>
      <c r="CQ991" s="7"/>
      <c r="CR991" s="6"/>
      <c r="CS991" s="7"/>
      <c r="CT991" s="8">
        <f t="shared" si="249"/>
        <v>0</v>
      </c>
      <c r="CU991" s="9"/>
      <c r="CV991" s="10"/>
      <c r="CW991" s="11"/>
      <c r="CX991" s="12"/>
      <c r="CY991" s="26"/>
      <c r="CZ991" s="12"/>
      <c r="DA991" s="9"/>
      <c r="DB991" s="10"/>
      <c r="DC991" s="64"/>
      <c r="DD991" s="22"/>
    </row>
    <row r="992" spans="1:108" s="119" customFormat="1" ht="24" outlineLevel="2">
      <c r="A992" s="178">
        <v>40384</v>
      </c>
      <c r="B992" s="82" t="s">
        <v>2300</v>
      </c>
      <c r="C992" s="82" t="s">
        <v>1389</v>
      </c>
      <c r="D992" s="165" t="s">
        <v>1262</v>
      </c>
      <c r="E992" s="167"/>
      <c r="F992" s="66"/>
      <c r="G992" s="66"/>
      <c r="H992" s="66">
        <v>62</v>
      </c>
      <c r="I992" s="66">
        <v>12</v>
      </c>
      <c r="J992" s="66"/>
      <c r="K992" s="66">
        <v>12</v>
      </c>
      <c r="L992" s="66"/>
      <c r="M992" s="66"/>
      <c r="N992" s="66"/>
      <c r="O992" s="66"/>
      <c r="P992" s="66"/>
      <c r="Q992" s="66"/>
      <c r="R992" s="66"/>
      <c r="S992" s="66"/>
      <c r="T992" s="67"/>
      <c r="U992" s="151"/>
      <c r="V992" s="1"/>
      <c r="W992" s="68">
        <f t="shared" si="244"/>
        <v>0</v>
      </c>
      <c r="X992" s="68">
        <f t="shared" si="245"/>
        <v>0</v>
      </c>
      <c r="Y992" s="68">
        <f t="shared" si="246"/>
        <v>0</v>
      </c>
      <c r="Z992" s="68">
        <f t="shared" si="247"/>
        <v>0</v>
      </c>
      <c r="AA992" s="68"/>
      <c r="AB992" s="68">
        <v>0</v>
      </c>
      <c r="AC992" s="69">
        <f t="shared" si="248"/>
        <v>0</v>
      </c>
      <c r="AD992" s="70">
        <v>0</v>
      </c>
      <c r="AE992" s="63">
        <v>40387</v>
      </c>
      <c r="AF992" s="72"/>
      <c r="AG992" s="63" t="s">
        <v>938</v>
      </c>
      <c r="AH992" s="23" t="s">
        <v>939</v>
      </c>
      <c r="AI992" s="60"/>
      <c r="AJ992" s="133" t="s">
        <v>1608</v>
      </c>
      <c r="AK992" s="73" t="s">
        <v>1166</v>
      </c>
      <c r="AL992" s="3"/>
      <c r="AM992" s="4"/>
      <c r="AN992" s="5"/>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6"/>
      <c r="CO992" s="7"/>
      <c r="CP992" s="6"/>
      <c r="CQ992" s="7"/>
      <c r="CR992" s="6"/>
      <c r="CS992" s="7"/>
      <c r="CT992" s="8">
        <f t="shared" si="249"/>
        <v>0</v>
      </c>
      <c r="CU992" s="9"/>
      <c r="CV992" s="10"/>
      <c r="CW992" s="11"/>
      <c r="CX992" s="12"/>
      <c r="CY992" s="26"/>
      <c r="CZ992" s="12"/>
      <c r="DA992" s="9"/>
      <c r="DB992" s="10"/>
      <c r="DC992" s="64"/>
      <c r="DD992" s="22"/>
    </row>
    <row r="993" spans="1:108" s="119" customFormat="1" ht="36" outlineLevel="2">
      <c r="A993" s="178">
        <v>40385</v>
      </c>
      <c r="B993" s="82" t="s">
        <v>2300</v>
      </c>
      <c r="C993" s="82" t="s">
        <v>527</v>
      </c>
      <c r="D993" s="165" t="s">
        <v>1262</v>
      </c>
      <c r="E993" s="167"/>
      <c r="F993" s="66"/>
      <c r="G993" s="66"/>
      <c r="H993" s="66"/>
      <c r="I993" s="66"/>
      <c r="J993" s="66"/>
      <c r="K993" s="66"/>
      <c r="L993" s="66"/>
      <c r="M993" s="66"/>
      <c r="N993" s="66"/>
      <c r="O993" s="66"/>
      <c r="P993" s="66"/>
      <c r="Q993" s="66"/>
      <c r="R993" s="66"/>
      <c r="S993" s="66"/>
      <c r="T993" s="67">
        <v>400</v>
      </c>
      <c r="U993" s="151" t="s">
        <v>1169</v>
      </c>
      <c r="V993" s="1"/>
      <c r="W993" s="68">
        <f t="shared" si="244"/>
        <v>0</v>
      </c>
      <c r="X993" s="68">
        <f t="shared" si="245"/>
        <v>0</v>
      </c>
      <c r="Y993" s="68">
        <f t="shared" si="246"/>
        <v>0</v>
      </c>
      <c r="Z993" s="68">
        <f t="shared" si="247"/>
        <v>0</v>
      </c>
      <c r="AA993" s="68"/>
      <c r="AB993" s="68">
        <v>0</v>
      </c>
      <c r="AC993" s="69">
        <f t="shared" si="248"/>
        <v>0</v>
      </c>
      <c r="AD993" s="70">
        <v>0</v>
      </c>
      <c r="AE993" s="63">
        <v>40387</v>
      </c>
      <c r="AF993" s="72"/>
      <c r="AG993" s="63" t="s">
        <v>938</v>
      </c>
      <c r="AH993" s="23" t="s">
        <v>939</v>
      </c>
      <c r="AI993" s="60"/>
      <c r="AJ993" s="133" t="s">
        <v>1608</v>
      </c>
      <c r="AK993" s="73" t="s">
        <v>1168</v>
      </c>
      <c r="AL993" s="3"/>
      <c r="AM993" s="4"/>
      <c r="AN993" s="5"/>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6"/>
      <c r="CO993" s="7"/>
      <c r="CP993" s="6"/>
      <c r="CQ993" s="7"/>
      <c r="CR993" s="6"/>
      <c r="CS993" s="7"/>
      <c r="CT993" s="8">
        <f t="shared" si="249"/>
        <v>0</v>
      </c>
      <c r="CU993" s="9"/>
      <c r="CV993" s="10"/>
      <c r="CW993" s="11"/>
      <c r="CX993" s="12"/>
      <c r="CY993" s="26"/>
      <c r="CZ993" s="12"/>
      <c r="DA993" s="9"/>
      <c r="DB993" s="10"/>
      <c r="DC993" s="64"/>
      <c r="DD993" s="22"/>
    </row>
    <row r="994" spans="1:108" s="119" customFormat="1" ht="36" outlineLevel="2">
      <c r="A994" s="178">
        <v>40385</v>
      </c>
      <c r="B994" s="82" t="s">
        <v>2300</v>
      </c>
      <c r="C994" s="82" t="s">
        <v>1198</v>
      </c>
      <c r="D994" s="165" t="s">
        <v>1262</v>
      </c>
      <c r="E994" s="167"/>
      <c r="F994" s="66"/>
      <c r="G994" s="66"/>
      <c r="H994" s="66">
        <f>225+88</f>
        <v>313</v>
      </c>
      <c r="I994" s="66">
        <v>70</v>
      </c>
      <c r="J994" s="66"/>
      <c r="K994" s="66">
        <f>45+25</f>
        <v>70</v>
      </c>
      <c r="L994" s="66"/>
      <c r="M994" s="66"/>
      <c r="N994" s="66"/>
      <c r="O994" s="66"/>
      <c r="P994" s="66"/>
      <c r="Q994" s="66"/>
      <c r="R994" s="66"/>
      <c r="S994" s="66"/>
      <c r="T994" s="67"/>
      <c r="U994" s="151"/>
      <c r="V994" s="1"/>
      <c r="W994" s="68">
        <f t="shared" si="244"/>
        <v>0</v>
      </c>
      <c r="X994" s="68">
        <f t="shared" si="245"/>
        <v>0</v>
      </c>
      <c r="Y994" s="68">
        <f t="shared" si="246"/>
        <v>0</v>
      </c>
      <c r="Z994" s="68">
        <f t="shared" si="247"/>
        <v>0</v>
      </c>
      <c r="AA994" s="68"/>
      <c r="AB994" s="68">
        <v>0</v>
      </c>
      <c r="AC994" s="69">
        <f t="shared" si="248"/>
        <v>0</v>
      </c>
      <c r="AD994" s="70">
        <v>0</v>
      </c>
      <c r="AE994" s="63">
        <v>40385</v>
      </c>
      <c r="AF994" s="72"/>
      <c r="AG994" s="63" t="s">
        <v>938</v>
      </c>
      <c r="AH994" s="23" t="s">
        <v>939</v>
      </c>
      <c r="AI994" s="60"/>
      <c r="AJ994" s="133" t="s">
        <v>1608</v>
      </c>
      <c r="AK994" s="73" t="s">
        <v>1167</v>
      </c>
      <c r="AL994" s="3"/>
      <c r="AM994" s="4"/>
      <c r="AN994" s="5"/>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6"/>
      <c r="CO994" s="7"/>
      <c r="CP994" s="6"/>
      <c r="CQ994" s="7"/>
      <c r="CR994" s="6"/>
      <c r="CS994" s="7"/>
      <c r="CT994" s="8">
        <f t="shared" si="249"/>
        <v>0</v>
      </c>
      <c r="CU994" s="9"/>
      <c r="CV994" s="10"/>
      <c r="CW994" s="11"/>
      <c r="CX994" s="12"/>
      <c r="CY994" s="26"/>
      <c r="CZ994" s="12"/>
      <c r="DA994" s="9"/>
      <c r="DB994" s="10"/>
      <c r="DC994" s="64"/>
      <c r="DD994" s="22"/>
    </row>
    <row r="995" spans="1:108" s="119" customFormat="1" ht="36" outlineLevel="2">
      <c r="A995" s="178">
        <v>40386</v>
      </c>
      <c r="B995" s="82" t="s">
        <v>2300</v>
      </c>
      <c r="C995" s="82" t="s">
        <v>1164</v>
      </c>
      <c r="D995" s="165" t="s">
        <v>1262</v>
      </c>
      <c r="E995" s="167"/>
      <c r="F995" s="66"/>
      <c r="G995" s="66"/>
      <c r="H995" s="66">
        <v>73</v>
      </c>
      <c r="I995" s="66">
        <v>12</v>
      </c>
      <c r="J995" s="66"/>
      <c r="K995" s="66">
        <v>12</v>
      </c>
      <c r="L995" s="66"/>
      <c r="M995" s="66"/>
      <c r="N995" s="66"/>
      <c r="O995" s="66"/>
      <c r="P995" s="66"/>
      <c r="Q995" s="66"/>
      <c r="R995" s="66"/>
      <c r="S995" s="66"/>
      <c r="T995" s="67"/>
      <c r="U995" s="151"/>
      <c r="V995" s="1"/>
      <c r="W995" s="68">
        <f t="shared" si="244"/>
        <v>0</v>
      </c>
      <c r="X995" s="68">
        <f t="shared" si="245"/>
        <v>0</v>
      </c>
      <c r="Y995" s="68">
        <f t="shared" si="246"/>
        <v>0</v>
      </c>
      <c r="Z995" s="68">
        <f t="shared" si="247"/>
        <v>0</v>
      </c>
      <c r="AA995" s="68"/>
      <c r="AB995" s="68">
        <v>0</v>
      </c>
      <c r="AC995" s="69">
        <f t="shared" si="248"/>
        <v>0</v>
      </c>
      <c r="AD995" s="70">
        <v>0</v>
      </c>
      <c r="AE995" s="63">
        <v>40387</v>
      </c>
      <c r="AF995" s="72"/>
      <c r="AG995" s="63" t="s">
        <v>938</v>
      </c>
      <c r="AH995" s="23" t="s">
        <v>939</v>
      </c>
      <c r="AI995" s="60"/>
      <c r="AJ995" s="133" t="s">
        <v>1608</v>
      </c>
      <c r="AK995" s="73" t="s">
        <v>1165</v>
      </c>
      <c r="AL995" s="3"/>
      <c r="AM995" s="4"/>
      <c r="AN995" s="5"/>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6"/>
      <c r="CO995" s="7"/>
      <c r="CP995" s="6"/>
      <c r="CQ995" s="7"/>
      <c r="CR995" s="6"/>
      <c r="CS995" s="7"/>
      <c r="CT995" s="8">
        <f t="shared" si="249"/>
        <v>0</v>
      </c>
      <c r="CU995" s="9"/>
      <c r="CV995" s="10"/>
      <c r="CW995" s="11"/>
      <c r="CX995" s="12"/>
      <c r="CY995" s="26"/>
      <c r="CZ995" s="12"/>
      <c r="DA995" s="9"/>
      <c r="DB995" s="10"/>
      <c r="DC995" s="64"/>
      <c r="DD995" s="22"/>
    </row>
    <row r="996" spans="1:108" s="119" customFormat="1" ht="48" outlineLevel="2">
      <c r="A996" s="178">
        <v>40386</v>
      </c>
      <c r="B996" s="82" t="s">
        <v>2300</v>
      </c>
      <c r="C996" s="82" t="s">
        <v>1172</v>
      </c>
      <c r="D996" s="165" t="s">
        <v>1182</v>
      </c>
      <c r="E996" s="167"/>
      <c r="F996" s="66"/>
      <c r="G996" s="66"/>
      <c r="H996" s="66"/>
      <c r="I996" s="66"/>
      <c r="J996" s="66"/>
      <c r="K996" s="66"/>
      <c r="L996" s="66">
        <v>1</v>
      </c>
      <c r="M996" s="66"/>
      <c r="N996" s="66"/>
      <c r="O996" s="66"/>
      <c r="P996" s="66"/>
      <c r="Q996" s="66"/>
      <c r="R996" s="66"/>
      <c r="S996" s="66"/>
      <c r="T996" s="67"/>
      <c r="U996" s="151"/>
      <c r="V996" s="1"/>
      <c r="W996" s="68">
        <f t="shared" si="244"/>
        <v>0</v>
      </c>
      <c r="X996" s="68">
        <f t="shared" si="245"/>
        <v>0</v>
      </c>
      <c r="Y996" s="68">
        <f t="shared" si="246"/>
        <v>0</v>
      </c>
      <c r="Z996" s="68">
        <f t="shared" si="247"/>
        <v>0</v>
      </c>
      <c r="AA996" s="68"/>
      <c r="AB996" s="68">
        <v>0</v>
      </c>
      <c r="AC996" s="69">
        <f t="shared" si="248"/>
        <v>0</v>
      </c>
      <c r="AD996" s="70">
        <v>0</v>
      </c>
      <c r="AE996" s="63">
        <v>40387</v>
      </c>
      <c r="AF996" s="72"/>
      <c r="AG996" s="63" t="s">
        <v>938</v>
      </c>
      <c r="AH996" s="23" t="s">
        <v>939</v>
      </c>
      <c r="AI996" s="60"/>
      <c r="AJ996" s="133" t="s">
        <v>1608</v>
      </c>
      <c r="AK996" s="73" t="s">
        <v>1173</v>
      </c>
      <c r="AL996" s="3"/>
      <c r="AM996" s="4"/>
      <c r="AN996" s="5"/>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6"/>
      <c r="CO996" s="7"/>
      <c r="CP996" s="6"/>
      <c r="CQ996" s="7"/>
      <c r="CR996" s="6"/>
      <c r="CS996" s="7"/>
      <c r="CT996" s="8">
        <f t="shared" si="249"/>
        <v>0</v>
      </c>
      <c r="CU996" s="9"/>
      <c r="CV996" s="10"/>
      <c r="CW996" s="11"/>
      <c r="CX996" s="12"/>
      <c r="CY996" s="26"/>
      <c r="CZ996" s="12"/>
      <c r="DA996" s="9"/>
      <c r="DB996" s="10"/>
      <c r="DC996" s="64"/>
      <c r="DD996" s="22"/>
    </row>
    <row r="997" spans="1:108" s="119" customFormat="1" ht="36" outlineLevel="2">
      <c r="A997" s="178">
        <v>40391</v>
      </c>
      <c r="B997" s="82" t="s">
        <v>2300</v>
      </c>
      <c r="C997" s="82" t="s">
        <v>1402</v>
      </c>
      <c r="D997" s="165" t="s">
        <v>1262</v>
      </c>
      <c r="E997" s="167"/>
      <c r="F997" s="66"/>
      <c r="G997" s="66"/>
      <c r="H997" s="66">
        <v>750</v>
      </c>
      <c r="I997" s="66">
        <v>150</v>
      </c>
      <c r="J997" s="66"/>
      <c r="K997" s="66">
        <v>150</v>
      </c>
      <c r="L997" s="66"/>
      <c r="M997" s="66"/>
      <c r="N997" s="66"/>
      <c r="O997" s="66"/>
      <c r="P997" s="66"/>
      <c r="Q997" s="66"/>
      <c r="R997" s="66"/>
      <c r="S997" s="66"/>
      <c r="T997" s="67"/>
      <c r="U997" s="151"/>
      <c r="V997" s="1"/>
      <c r="W997" s="68">
        <f t="shared" si="244"/>
        <v>0</v>
      </c>
      <c r="X997" s="68">
        <f t="shared" si="245"/>
        <v>0</v>
      </c>
      <c r="Y997" s="68">
        <f t="shared" si="246"/>
        <v>0</v>
      </c>
      <c r="Z997" s="68">
        <f t="shared" si="247"/>
        <v>0</v>
      </c>
      <c r="AA997" s="68"/>
      <c r="AB997" s="68">
        <v>0</v>
      </c>
      <c r="AC997" s="69">
        <f t="shared" si="248"/>
        <v>0</v>
      </c>
      <c r="AD997" s="70">
        <v>0</v>
      </c>
      <c r="AE997" s="63">
        <v>40393</v>
      </c>
      <c r="AF997" s="72"/>
      <c r="AG997" s="63" t="s">
        <v>938</v>
      </c>
      <c r="AH997" s="23" t="s">
        <v>939</v>
      </c>
      <c r="AI997" s="60"/>
      <c r="AJ997" s="133" t="s">
        <v>1608</v>
      </c>
      <c r="AK997" s="73" t="s">
        <v>1993</v>
      </c>
      <c r="AL997" s="3"/>
      <c r="AM997" s="4"/>
      <c r="AN997" s="5"/>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6"/>
      <c r="CO997" s="7"/>
      <c r="CP997" s="6"/>
      <c r="CQ997" s="7"/>
      <c r="CR997" s="6"/>
      <c r="CS997" s="7"/>
      <c r="CT997" s="8">
        <f t="shared" si="249"/>
        <v>0</v>
      </c>
      <c r="CU997" s="9"/>
      <c r="CV997" s="10"/>
      <c r="CW997" s="11"/>
      <c r="CX997" s="12"/>
      <c r="CY997" s="26"/>
      <c r="CZ997" s="12"/>
      <c r="DA997" s="9"/>
      <c r="DB997" s="10"/>
      <c r="DC997" s="64"/>
      <c r="DD997" s="22"/>
    </row>
    <row r="998" spans="1:108" s="119" customFormat="1" ht="60" outlineLevel="2">
      <c r="A998" s="178">
        <v>40404</v>
      </c>
      <c r="B998" s="82" t="s">
        <v>2300</v>
      </c>
      <c r="C998" s="82" t="s">
        <v>1198</v>
      </c>
      <c r="D998" s="165" t="s">
        <v>1262</v>
      </c>
      <c r="E998" s="167"/>
      <c r="F998" s="66"/>
      <c r="G998" s="66"/>
      <c r="H998" s="66">
        <v>994</v>
      </c>
      <c r="I998" s="66">
        <v>137</v>
      </c>
      <c r="J998" s="66"/>
      <c r="K998" s="66">
        <v>137</v>
      </c>
      <c r="L998" s="66"/>
      <c r="M998" s="66"/>
      <c r="N998" s="66"/>
      <c r="O998" s="66"/>
      <c r="P998" s="66"/>
      <c r="Q998" s="66"/>
      <c r="R998" s="66"/>
      <c r="S998" s="66"/>
      <c r="T998" s="67"/>
      <c r="U998" s="151"/>
      <c r="V998" s="1"/>
      <c r="W998" s="68">
        <f t="shared" si="244"/>
        <v>0</v>
      </c>
      <c r="X998" s="68">
        <f t="shared" si="245"/>
        <v>0</v>
      </c>
      <c r="Y998" s="68">
        <f t="shared" si="246"/>
        <v>0</v>
      </c>
      <c r="Z998" s="68">
        <f t="shared" si="247"/>
        <v>0</v>
      </c>
      <c r="AA998" s="68"/>
      <c r="AB998" s="68">
        <v>0</v>
      </c>
      <c r="AC998" s="69">
        <f t="shared" si="248"/>
        <v>0</v>
      </c>
      <c r="AD998" s="70">
        <v>0</v>
      </c>
      <c r="AE998" s="63">
        <v>40407</v>
      </c>
      <c r="AF998" s="72"/>
      <c r="AG998" s="63" t="s">
        <v>938</v>
      </c>
      <c r="AH998" s="23" t="s">
        <v>939</v>
      </c>
      <c r="AI998" s="60"/>
      <c r="AJ998" s="133" t="s">
        <v>1608</v>
      </c>
      <c r="AK998" s="73" t="s">
        <v>2070</v>
      </c>
      <c r="AL998" s="3"/>
      <c r="AM998" s="4"/>
      <c r="AN998" s="5"/>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6"/>
      <c r="CO998" s="7"/>
      <c r="CP998" s="6"/>
      <c r="CQ998" s="7"/>
      <c r="CR998" s="6"/>
      <c r="CS998" s="7"/>
      <c r="CT998" s="8">
        <f t="shared" si="249"/>
        <v>0</v>
      </c>
      <c r="CU998" s="9"/>
      <c r="CV998" s="10"/>
      <c r="CW998" s="11"/>
      <c r="CX998" s="12"/>
      <c r="CY998" s="26"/>
      <c r="CZ998" s="12"/>
      <c r="DA998" s="9"/>
      <c r="DB998" s="10"/>
      <c r="DC998" s="64"/>
      <c r="DD998" s="22"/>
    </row>
    <row r="999" spans="1:108" s="119" customFormat="1" ht="24" outlineLevel="2">
      <c r="A999" s="178">
        <v>40426</v>
      </c>
      <c r="B999" s="174" t="s">
        <v>2300</v>
      </c>
      <c r="C999" s="174" t="s">
        <v>1198</v>
      </c>
      <c r="D999" s="179" t="s">
        <v>1262</v>
      </c>
      <c r="E999" s="163"/>
      <c r="F999" s="105"/>
      <c r="G999" s="105"/>
      <c r="H999" s="105">
        <v>100</v>
      </c>
      <c r="I999" s="105">
        <v>20</v>
      </c>
      <c r="J999" s="105"/>
      <c r="K999" s="105">
        <v>20</v>
      </c>
      <c r="L999" s="105"/>
      <c r="M999" s="105"/>
      <c r="N999" s="105"/>
      <c r="O999" s="105"/>
      <c r="P999" s="105"/>
      <c r="Q999" s="105"/>
      <c r="R999" s="105"/>
      <c r="S999" s="105"/>
      <c r="T999" s="106"/>
      <c r="U999" s="130"/>
      <c r="V999" s="1"/>
      <c r="W999" s="68">
        <f t="shared" si="244"/>
        <v>0</v>
      </c>
      <c r="X999" s="68">
        <f t="shared" si="245"/>
        <v>0</v>
      </c>
      <c r="Y999" s="68">
        <f t="shared" si="246"/>
        <v>0</v>
      </c>
      <c r="Z999" s="68">
        <f t="shared" si="247"/>
        <v>0</v>
      </c>
      <c r="AA999" s="68"/>
      <c r="AB999" s="68">
        <v>0</v>
      </c>
      <c r="AC999" s="69">
        <f t="shared" si="248"/>
        <v>0</v>
      </c>
      <c r="AD999" s="70">
        <v>0</v>
      </c>
      <c r="AE999" s="63">
        <v>40428</v>
      </c>
      <c r="AF999" s="72"/>
      <c r="AG999" s="63" t="s">
        <v>938</v>
      </c>
      <c r="AH999" s="23" t="s">
        <v>939</v>
      </c>
      <c r="AI999" s="60"/>
      <c r="AJ999" s="124" t="s">
        <v>1608</v>
      </c>
      <c r="AK999" s="121" t="s">
        <v>1741</v>
      </c>
      <c r="AL999" s="107"/>
      <c r="AM999" s="108"/>
      <c r="AN999" s="109"/>
      <c r="AO999" s="108"/>
      <c r="AP999" s="108"/>
      <c r="AQ999" s="108"/>
      <c r="AR999" s="108"/>
      <c r="AS999" s="108"/>
      <c r="AT999" s="108"/>
      <c r="AU999" s="108"/>
      <c r="AV999" s="108"/>
      <c r="AW999" s="108"/>
      <c r="AX999" s="108"/>
      <c r="AY999" s="108"/>
      <c r="AZ999" s="108"/>
      <c r="BA999" s="108"/>
      <c r="BB999" s="108"/>
      <c r="BC999" s="108"/>
      <c r="BD999" s="108"/>
      <c r="BE999" s="108"/>
      <c r="BF999" s="108"/>
      <c r="BG999" s="108"/>
      <c r="BH999" s="108"/>
      <c r="BI999" s="108"/>
      <c r="BJ999" s="108"/>
      <c r="BK999" s="108"/>
      <c r="BL999" s="108"/>
      <c r="BM999" s="108"/>
      <c r="BN999" s="108"/>
      <c r="BO999" s="108"/>
      <c r="BP999" s="108"/>
      <c r="BQ999" s="108"/>
      <c r="BR999" s="108"/>
      <c r="BS999" s="108"/>
      <c r="BT999" s="108"/>
      <c r="BU999" s="108"/>
      <c r="BV999" s="108"/>
      <c r="BW999" s="108"/>
      <c r="BX999" s="108"/>
      <c r="BY999" s="108"/>
      <c r="BZ999" s="108"/>
      <c r="CA999" s="108"/>
      <c r="CB999" s="108"/>
      <c r="CC999" s="108"/>
      <c r="CD999" s="108"/>
      <c r="CE999" s="108"/>
      <c r="CF999" s="108"/>
      <c r="CG999" s="108"/>
      <c r="CH999" s="108"/>
      <c r="CI999" s="108"/>
      <c r="CJ999" s="108"/>
      <c r="CK999" s="108"/>
      <c r="CL999" s="108"/>
      <c r="CM999" s="108"/>
      <c r="CN999" s="110"/>
      <c r="CO999" s="111"/>
      <c r="CP999" s="110"/>
      <c r="CQ999" s="111"/>
      <c r="CR999" s="110"/>
      <c r="CS999" s="111"/>
      <c r="CT999" s="112">
        <f t="shared" si="249"/>
        <v>0</v>
      </c>
      <c r="CU999" s="113"/>
      <c r="CV999" s="114"/>
      <c r="CW999" s="115"/>
      <c r="CX999" s="116"/>
      <c r="CY999" s="117"/>
      <c r="CZ999" s="116"/>
      <c r="DA999" s="113"/>
      <c r="DB999" s="114"/>
      <c r="DC999" s="64"/>
      <c r="DD999" s="118"/>
    </row>
    <row r="1000" spans="1:108" s="119" customFormat="1" ht="36" outlineLevel="2">
      <c r="A1000" s="178">
        <v>40431</v>
      </c>
      <c r="B1000" s="174" t="s">
        <v>2300</v>
      </c>
      <c r="C1000" s="174" t="s">
        <v>1198</v>
      </c>
      <c r="D1000" s="179" t="s">
        <v>435</v>
      </c>
      <c r="E1000" s="163"/>
      <c r="F1000" s="105"/>
      <c r="G1000" s="105"/>
      <c r="H1000" s="105">
        <v>20</v>
      </c>
      <c r="I1000" s="105">
        <v>4</v>
      </c>
      <c r="J1000" s="105"/>
      <c r="K1000" s="105">
        <v>4</v>
      </c>
      <c r="L1000" s="105"/>
      <c r="M1000" s="105"/>
      <c r="N1000" s="105"/>
      <c r="O1000" s="105"/>
      <c r="P1000" s="105"/>
      <c r="Q1000" s="105"/>
      <c r="R1000" s="105"/>
      <c r="S1000" s="105"/>
      <c r="T1000" s="106"/>
      <c r="U1000" s="130" t="s">
        <v>1958</v>
      </c>
      <c r="V1000" s="1"/>
      <c r="W1000" s="68">
        <f t="shared" si="244"/>
        <v>0</v>
      </c>
      <c r="X1000" s="68">
        <f t="shared" si="245"/>
        <v>0</v>
      </c>
      <c r="Y1000" s="68">
        <f t="shared" si="246"/>
        <v>0</v>
      </c>
      <c r="Z1000" s="68">
        <f t="shared" si="247"/>
        <v>0</v>
      </c>
      <c r="AA1000" s="68"/>
      <c r="AB1000" s="68">
        <v>0</v>
      </c>
      <c r="AC1000" s="69">
        <f t="shared" si="248"/>
        <v>0</v>
      </c>
      <c r="AD1000" s="70">
        <v>0</v>
      </c>
      <c r="AE1000" s="63">
        <v>40435</v>
      </c>
      <c r="AF1000" s="72"/>
      <c r="AG1000" s="63" t="s">
        <v>938</v>
      </c>
      <c r="AH1000" s="23" t="s">
        <v>939</v>
      </c>
      <c r="AI1000" s="60"/>
      <c r="AJ1000" s="124" t="s">
        <v>1608</v>
      </c>
      <c r="AK1000" s="121" t="s">
        <v>447</v>
      </c>
      <c r="AL1000" s="107"/>
      <c r="AM1000" s="108"/>
      <c r="AN1000" s="109"/>
      <c r="AO1000" s="108"/>
      <c r="AP1000" s="108"/>
      <c r="AQ1000" s="108"/>
      <c r="AR1000" s="108"/>
      <c r="AS1000" s="108"/>
      <c r="AT1000" s="108"/>
      <c r="AU1000" s="108"/>
      <c r="AV1000" s="108"/>
      <c r="AW1000" s="108"/>
      <c r="AX1000" s="108"/>
      <c r="AY1000" s="108"/>
      <c r="AZ1000" s="108"/>
      <c r="BA1000" s="108"/>
      <c r="BB1000" s="108"/>
      <c r="BC1000" s="108"/>
      <c r="BD1000" s="108"/>
      <c r="BE1000" s="108"/>
      <c r="BF1000" s="108"/>
      <c r="BG1000" s="108"/>
      <c r="BH1000" s="108"/>
      <c r="BI1000" s="108"/>
      <c r="BJ1000" s="108"/>
      <c r="BK1000" s="108"/>
      <c r="BL1000" s="108"/>
      <c r="BM1000" s="108"/>
      <c r="BN1000" s="108"/>
      <c r="BO1000" s="108"/>
      <c r="BP1000" s="108"/>
      <c r="BQ1000" s="108"/>
      <c r="BR1000" s="108"/>
      <c r="BS1000" s="108"/>
      <c r="BT1000" s="108"/>
      <c r="BU1000" s="108"/>
      <c r="BV1000" s="108"/>
      <c r="BW1000" s="108"/>
      <c r="BX1000" s="108"/>
      <c r="BY1000" s="108"/>
      <c r="BZ1000" s="108"/>
      <c r="CA1000" s="108"/>
      <c r="CB1000" s="108"/>
      <c r="CC1000" s="108"/>
      <c r="CD1000" s="108"/>
      <c r="CE1000" s="108"/>
      <c r="CF1000" s="108"/>
      <c r="CG1000" s="108"/>
      <c r="CH1000" s="108"/>
      <c r="CI1000" s="108"/>
      <c r="CJ1000" s="108"/>
      <c r="CK1000" s="108"/>
      <c r="CL1000" s="108"/>
      <c r="CM1000" s="108"/>
      <c r="CN1000" s="110"/>
      <c r="CO1000" s="111"/>
      <c r="CP1000" s="110"/>
      <c r="CQ1000" s="111"/>
      <c r="CR1000" s="110"/>
      <c r="CS1000" s="111"/>
      <c r="CT1000" s="112">
        <f t="shared" si="249"/>
        <v>0</v>
      </c>
      <c r="CU1000" s="113"/>
      <c r="CV1000" s="114"/>
      <c r="CW1000" s="115"/>
      <c r="CX1000" s="116"/>
      <c r="CY1000" s="117"/>
      <c r="CZ1000" s="116"/>
      <c r="DA1000" s="113"/>
      <c r="DB1000" s="114"/>
      <c r="DC1000" s="64"/>
      <c r="DD1000" s="118"/>
    </row>
    <row r="1001" spans="1:108" s="119" customFormat="1" ht="36" outlineLevel="2">
      <c r="A1001" s="178">
        <v>40442</v>
      </c>
      <c r="B1001" s="164" t="s">
        <v>2300</v>
      </c>
      <c r="C1001" s="164" t="s">
        <v>2034</v>
      </c>
      <c r="D1001" s="166" t="s">
        <v>1262</v>
      </c>
      <c r="E1001" s="163">
        <v>1</v>
      </c>
      <c r="F1001" s="105"/>
      <c r="G1001" s="105"/>
      <c r="H1001" s="105"/>
      <c r="I1001" s="105"/>
      <c r="J1001" s="105"/>
      <c r="K1001" s="105"/>
      <c r="L1001" s="105"/>
      <c r="M1001" s="105"/>
      <c r="N1001" s="105"/>
      <c r="O1001" s="105"/>
      <c r="P1001" s="105"/>
      <c r="Q1001" s="105"/>
      <c r="R1001" s="105"/>
      <c r="S1001" s="105"/>
      <c r="T1001" s="106"/>
      <c r="U1001" s="130"/>
      <c r="V1001" s="1"/>
      <c r="W1001" s="68">
        <f t="shared" si="244"/>
        <v>0</v>
      </c>
      <c r="X1001" s="68">
        <f t="shared" si="245"/>
        <v>0</v>
      </c>
      <c r="Y1001" s="68">
        <f t="shared" si="246"/>
        <v>0</v>
      </c>
      <c r="Z1001" s="68">
        <f t="shared" si="247"/>
        <v>0</v>
      </c>
      <c r="AA1001" s="68"/>
      <c r="AB1001" s="68">
        <v>0</v>
      </c>
      <c r="AC1001" s="69">
        <f t="shared" si="248"/>
        <v>0</v>
      </c>
      <c r="AD1001" s="70">
        <v>0</v>
      </c>
      <c r="AE1001" s="63">
        <v>40444</v>
      </c>
      <c r="AF1001" s="72"/>
      <c r="AG1001" s="63" t="s">
        <v>938</v>
      </c>
      <c r="AH1001" s="23" t="s">
        <v>939</v>
      </c>
      <c r="AI1001" s="60"/>
      <c r="AJ1001" s="124" t="s">
        <v>1608</v>
      </c>
      <c r="AK1001" s="121" t="s">
        <v>1326</v>
      </c>
      <c r="AL1001" s="107"/>
      <c r="AM1001" s="108"/>
      <c r="AN1001" s="109"/>
      <c r="AO1001" s="108"/>
      <c r="AP1001" s="108"/>
      <c r="AQ1001" s="108"/>
      <c r="AR1001" s="108"/>
      <c r="AS1001" s="108"/>
      <c r="AT1001" s="108"/>
      <c r="AU1001" s="108"/>
      <c r="AV1001" s="108"/>
      <c r="AW1001" s="108"/>
      <c r="AX1001" s="108"/>
      <c r="AY1001" s="108"/>
      <c r="AZ1001" s="108"/>
      <c r="BA1001" s="108"/>
      <c r="BB1001" s="108"/>
      <c r="BC1001" s="108"/>
      <c r="BD1001" s="108"/>
      <c r="BE1001" s="108"/>
      <c r="BF1001" s="108"/>
      <c r="BG1001" s="108"/>
      <c r="BH1001" s="108"/>
      <c r="BI1001" s="108"/>
      <c r="BJ1001" s="108"/>
      <c r="BK1001" s="108"/>
      <c r="BL1001" s="108"/>
      <c r="BM1001" s="108"/>
      <c r="BN1001" s="108"/>
      <c r="BO1001" s="108"/>
      <c r="BP1001" s="108"/>
      <c r="BQ1001" s="108"/>
      <c r="BR1001" s="108"/>
      <c r="BS1001" s="108"/>
      <c r="BT1001" s="108"/>
      <c r="BU1001" s="108"/>
      <c r="BV1001" s="108"/>
      <c r="BW1001" s="108"/>
      <c r="BX1001" s="108"/>
      <c r="BY1001" s="108"/>
      <c r="BZ1001" s="108"/>
      <c r="CA1001" s="108"/>
      <c r="CB1001" s="108"/>
      <c r="CC1001" s="108"/>
      <c r="CD1001" s="108"/>
      <c r="CE1001" s="108"/>
      <c r="CF1001" s="108"/>
      <c r="CG1001" s="108"/>
      <c r="CH1001" s="108"/>
      <c r="CI1001" s="108"/>
      <c r="CJ1001" s="108"/>
      <c r="CK1001" s="108"/>
      <c r="CL1001" s="108"/>
      <c r="CM1001" s="108"/>
      <c r="CN1001" s="110"/>
      <c r="CO1001" s="111"/>
      <c r="CP1001" s="110"/>
      <c r="CQ1001" s="111"/>
      <c r="CR1001" s="110"/>
      <c r="CS1001" s="111"/>
      <c r="CT1001" s="112">
        <f t="shared" si="249"/>
        <v>0</v>
      </c>
      <c r="CU1001" s="113"/>
      <c r="CV1001" s="114"/>
      <c r="CW1001" s="115"/>
      <c r="CX1001" s="116"/>
      <c r="CY1001" s="117"/>
      <c r="CZ1001" s="116"/>
      <c r="DA1001" s="113"/>
      <c r="DB1001" s="114"/>
      <c r="DC1001" s="64"/>
      <c r="DD1001" s="118">
        <v>1296</v>
      </c>
    </row>
    <row r="1002" spans="1:108" s="119" customFormat="1" ht="24" outlineLevel="2">
      <c r="A1002" s="178">
        <v>40461</v>
      </c>
      <c r="B1002" s="164" t="s">
        <v>2300</v>
      </c>
      <c r="C1002" s="164" t="s">
        <v>270</v>
      </c>
      <c r="D1002" s="166" t="s">
        <v>435</v>
      </c>
      <c r="E1002" s="163"/>
      <c r="F1002" s="105"/>
      <c r="G1002" s="105"/>
      <c r="H1002" s="105">
        <f>22*5</f>
        <v>110</v>
      </c>
      <c r="I1002" s="105">
        <v>22</v>
      </c>
      <c r="J1002" s="105"/>
      <c r="K1002" s="105">
        <v>1</v>
      </c>
      <c r="L1002" s="105"/>
      <c r="M1002" s="105"/>
      <c r="N1002" s="105"/>
      <c r="O1002" s="105"/>
      <c r="P1002" s="105"/>
      <c r="Q1002" s="105"/>
      <c r="R1002" s="105"/>
      <c r="S1002" s="105"/>
      <c r="T1002" s="106"/>
      <c r="U1002" s="130" t="s">
        <v>414</v>
      </c>
      <c r="V1002" s="1"/>
      <c r="W1002" s="68">
        <f t="shared" si="244"/>
        <v>0</v>
      </c>
      <c r="X1002" s="68">
        <f t="shared" si="245"/>
        <v>0</v>
      </c>
      <c r="Y1002" s="68">
        <f t="shared" si="246"/>
        <v>0</v>
      </c>
      <c r="Z1002" s="68">
        <f t="shared" si="247"/>
        <v>0</v>
      </c>
      <c r="AA1002" s="68"/>
      <c r="AB1002" s="68">
        <v>0</v>
      </c>
      <c r="AC1002" s="69">
        <f t="shared" si="248"/>
        <v>0</v>
      </c>
      <c r="AD1002" s="70">
        <v>0</v>
      </c>
      <c r="AE1002" s="63">
        <v>40462</v>
      </c>
      <c r="AF1002" s="72"/>
      <c r="AG1002" s="63" t="s">
        <v>938</v>
      </c>
      <c r="AH1002" s="23" t="s">
        <v>939</v>
      </c>
      <c r="AI1002" s="60"/>
      <c r="AJ1002" s="124" t="s">
        <v>1608</v>
      </c>
      <c r="AK1002" s="121" t="s">
        <v>2082</v>
      </c>
      <c r="AL1002" s="107"/>
      <c r="AM1002" s="108"/>
      <c r="AN1002" s="109"/>
      <c r="AO1002" s="108"/>
      <c r="AP1002" s="108"/>
      <c r="AQ1002" s="108"/>
      <c r="AR1002" s="108"/>
      <c r="AS1002" s="108"/>
      <c r="AT1002" s="108"/>
      <c r="AU1002" s="108"/>
      <c r="AV1002" s="108"/>
      <c r="AW1002" s="108"/>
      <c r="AX1002" s="108"/>
      <c r="AY1002" s="108"/>
      <c r="AZ1002" s="108"/>
      <c r="BA1002" s="108"/>
      <c r="BB1002" s="108"/>
      <c r="BC1002" s="108"/>
      <c r="BD1002" s="108"/>
      <c r="BE1002" s="108"/>
      <c r="BF1002" s="108"/>
      <c r="BG1002" s="108"/>
      <c r="BH1002" s="108"/>
      <c r="BI1002" s="108"/>
      <c r="BJ1002" s="108"/>
      <c r="BK1002" s="108"/>
      <c r="BL1002" s="108"/>
      <c r="BM1002" s="108"/>
      <c r="BN1002" s="108"/>
      <c r="BO1002" s="108"/>
      <c r="BP1002" s="108"/>
      <c r="BQ1002" s="108"/>
      <c r="BR1002" s="108"/>
      <c r="BS1002" s="108"/>
      <c r="BT1002" s="108"/>
      <c r="BU1002" s="108"/>
      <c r="BV1002" s="108"/>
      <c r="BW1002" s="108"/>
      <c r="BX1002" s="108"/>
      <c r="BY1002" s="108"/>
      <c r="BZ1002" s="108"/>
      <c r="CA1002" s="108"/>
      <c r="CB1002" s="108"/>
      <c r="CC1002" s="108"/>
      <c r="CD1002" s="108"/>
      <c r="CE1002" s="108"/>
      <c r="CF1002" s="108"/>
      <c r="CG1002" s="108"/>
      <c r="CH1002" s="108"/>
      <c r="CI1002" s="108"/>
      <c r="CJ1002" s="108"/>
      <c r="CK1002" s="108"/>
      <c r="CL1002" s="108"/>
      <c r="CM1002" s="108"/>
      <c r="CN1002" s="110"/>
      <c r="CO1002" s="111"/>
      <c r="CP1002" s="110"/>
      <c r="CQ1002" s="111"/>
      <c r="CR1002" s="110"/>
      <c r="CS1002" s="111"/>
      <c r="CT1002" s="112">
        <f t="shared" si="249"/>
        <v>0</v>
      </c>
      <c r="CU1002" s="113"/>
      <c r="CV1002" s="114"/>
      <c r="CW1002" s="115"/>
      <c r="CX1002" s="116"/>
      <c r="CY1002" s="117"/>
      <c r="CZ1002" s="116"/>
      <c r="DA1002" s="113"/>
      <c r="DB1002" s="114"/>
      <c r="DC1002" s="64"/>
      <c r="DD1002" s="118"/>
    </row>
    <row r="1003" spans="1:108" s="119" customFormat="1" ht="24" outlineLevel="2">
      <c r="A1003" s="178">
        <v>40467</v>
      </c>
      <c r="B1003" s="164" t="s">
        <v>2300</v>
      </c>
      <c r="C1003" s="164" t="s">
        <v>2314</v>
      </c>
      <c r="D1003" s="166" t="s">
        <v>435</v>
      </c>
      <c r="E1003" s="163"/>
      <c r="F1003" s="105"/>
      <c r="G1003" s="105"/>
      <c r="H1003" s="105">
        <v>5</v>
      </c>
      <c r="I1003" s="105">
        <v>1</v>
      </c>
      <c r="J1003" s="105"/>
      <c r="K1003" s="105">
        <v>1</v>
      </c>
      <c r="L1003" s="105"/>
      <c r="M1003" s="105"/>
      <c r="N1003" s="105"/>
      <c r="O1003" s="105"/>
      <c r="P1003" s="105"/>
      <c r="Q1003" s="105"/>
      <c r="R1003" s="105"/>
      <c r="S1003" s="105"/>
      <c r="T1003" s="106"/>
      <c r="U1003" s="130"/>
      <c r="V1003" s="1"/>
      <c r="W1003" s="68">
        <f t="shared" si="244"/>
        <v>0</v>
      </c>
      <c r="X1003" s="68">
        <f t="shared" si="245"/>
        <v>0</v>
      </c>
      <c r="Y1003" s="68">
        <f t="shared" si="246"/>
        <v>0</v>
      </c>
      <c r="Z1003" s="68">
        <f t="shared" si="247"/>
        <v>0</v>
      </c>
      <c r="AA1003" s="68"/>
      <c r="AB1003" s="68">
        <v>0</v>
      </c>
      <c r="AC1003" s="69">
        <f t="shared" si="248"/>
        <v>0</v>
      </c>
      <c r="AD1003" s="70">
        <v>0</v>
      </c>
      <c r="AE1003" s="63">
        <v>40471</v>
      </c>
      <c r="AF1003" s="72"/>
      <c r="AG1003" s="63" t="s">
        <v>938</v>
      </c>
      <c r="AH1003" s="23" t="s">
        <v>939</v>
      </c>
      <c r="AI1003" s="60"/>
      <c r="AJ1003" s="124" t="s">
        <v>1608</v>
      </c>
      <c r="AK1003" s="121" t="s">
        <v>2315</v>
      </c>
      <c r="AL1003" s="107"/>
      <c r="AM1003" s="108"/>
      <c r="AN1003" s="109"/>
      <c r="AO1003" s="108"/>
      <c r="AP1003" s="108"/>
      <c r="AQ1003" s="108"/>
      <c r="AR1003" s="108"/>
      <c r="AS1003" s="108"/>
      <c r="AT1003" s="108"/>
      <c r="AU1003" s="108"/>
      <c r="AV1003" s="108"/>
      <c r="AW1003" s="108"/>
      <c r="AX1003" s="108"/>
      <c r="AY1003" s="108"/>
      <c r="AZ1003" s="108"/>
      <c r="BA1003" s="108"/>
      <c r="BB1003" s="108"/>
      <c r="BC1003" s="108"/>
      <c r="BD1003" s="108"/>
      <c r="BE1003" s="108"/>
      <c r="BF1003" s="108"/>
      <c r="BG1003" s="108"/>
      <c r="BH1003" s="108"/>
      <c r="BI1003" s="108"/>
      <c r="BJ1003" s="108"/>
      <c r="BK1003" s="108"/>
      <c r="BL1003" s="108"/>
      <c r="BM1003" s="108"/>
      <c r="BN1003" s="108"/>
      <c r="BO1003" s="108"/>
      <c r="BP1003" s="108"/>
      <c r="BQ1003" s="108"/>
      <c r="BR1003" s="108"/>
      <c r="BS1003" s="108"/>
      <c r="BT1003" s="108"/>
      <c r="BU1003" s="108"/>
      <c r="BV1003" s="108"/>
      <c r="BW1003" s="108"/>
      <c r="BX1003" s="108"/>
      <c r="BY1003" s="108"/>
      <c r="BZ1003" s="108"/>
      <c r="CA1003" s="108"/>
      <c r="CB1003" s="108"/>
      <c r="CC1003" s="108"/>
      <c r="CD1003" s="108"/>
      <c r="CE1003" s="108"/>
      <c r="CF1003" s="108"/>
      <c r="CG1003" s="108"/>
      <c r="CH1003" s="108"/>
      <c r="CI1003" s="108"/>
      <c r="CJ1003" s="108"/>
      <c r="CK1003" s="108"/>
      <c r="CL1003" s="108"/>
      <c r="CM1003" s="108"/>
      <c r="CN1003" s="110"/>
      <c r="CO1003" s="111"/>
      <c r="CP1003" s="110"/>
      <c r="CQ1003" s="111"/>
      <c r="CR1003" s="110"/>
      <c r="CS1003" s="111"/>
      <c r="CT1003" s="112">
        <f t="shared" si="249"/>
        <v>0</v>
      </c>
      <c r="CU1003" s="113"/>
      <c r="CV1003" s="114"/>
      <c r="CW1003" s="115"/>
      <c r="CX1003" s="116"/>
      <c r="CY1003" s="117"/>
      <c r="CZ1003" s="116"/>
      <c r="DA1003" s="113"/>
      <c r="DB1003" s="114"/>
      <c r="DC1003" s="64"/>
      <c r="DD1003" s="118">
        <v>1349</v>
      </c>
    </row>
    <row r="1004" spans="1:108" s="119" customFormat="1" ht="24" outlineLevel="2">
      <c r="A1004" s="178">
        <v>40484</v>
      </c>
      <c r="B1004" s="164" t="s">
        <v>2300</v>
      </c>
      <c r="C1004" s="164" t="s">
        <v>1037</v>
      </c>
      <c r="D1004" s="166" t="s">
        <v>1262</v>
      </c>
      <c r="E1004" s="163"/>
      <c r="F1004" s="105"/>
      <c r="G1004" s="105"/>
      <c r="H1004" s="105">
        <v>15</v>
      </c>
      <c r="I1004" s="105">
        <v>4</v>
      </c>
      <c r="J1004" s="105"/>
      <c r="K1004" s="105">
        <v>4</v>
      </c>
      <c r="L1004" s="105"/>
      <c r="M1004" s="105"/>
      <c r="N1004" s="105"/>
      <c r="O1004" s="105"/>
      <c r="P1004" s="105"/>
      <c r="Q1004" s="105"/>
      <c r="R1004" s="105"/>
      <c r="S1004" s="105"/>
      <c r="T1004" s="106"/>
      <c r="U1004" s="130"/>
      <c r="V1004" s="1"/>
      <c r="W1004" s="68">
        <f t="shared" si="244"/>
        <v>0</v>
      </c>
      <c r="X1004" s="68">
        <f t="shared" si="245"/>
        <v>0</v>
      </c>
      <c r="Y1004" s="68">
        <f t="shared" si="246"/>
        <v>0</v>
      </c>
      <c r="Z1004" s="68">
        <f t="shared" si="247"/>
        <v>0</v>
      </c>
      <c r="AA1004" s="68"/>
      <c r="AB1004" s="68">
        <v>0</v>
      </c>
      <c r="AC1004" s="69">
        <f t="shared" si="248"/>
        <v>0</v>
      </c>
      <c r="AD1004" s="70">
        <v>0</v>
      </c>
      <c r="AE1004" s="63">
        <v>40484</v>
      </c>
      <c r="AF1004" s="72"/>
      <c r="AG1004" s="63" t="s">
        <v>938</v>
      </c>
      <c r="AH1004" s="23" t="s">
        <v>939</v>
      </c>
      <c r="AI1004" s="83"/>
      <c r="AJ1004" s="124" t="s">
        <v>1608</v>
      </c>
      <c r="AK1004" s="121" t="s">
        <v>1038</v>
      </c>
      <c r="AL1004" s="107"/>
      <c r="AM1004" s="108"/>
      <c r="AN1004" s="109"/>
      <c r="AO1004" s="108"/>
      <c r="AP1004" s="108"/>
      <c r="AQ1004" s="108"/>
      <c r="AR1004" s="108"/>
      <c r="AS1004" s="108"/>
      <c r="AT1004" s="108"/>
      <c r="AU1004" s="108"/>
      <c r="AV1004" s="108"/>
      <c r="AW1004" s="108"/>
      <c r="AX1004" s="108"/>
      <c r="AY1004" s="108"/>
      <c r="AZ1004" s="108"/>
      <c r="BA1004" s="108"/>
      <c r="BB1004" s="108"/>
      <c r="BC1004" s="108"/>
      <c r="BD1004" s="108"/>
      <c r="BE1004" s="108"/>
      <c r="BF1004" s="108"/>
      <c r="BG1004" s="108"/>
      <c r="BH1004" s="108"/>
      <c r="BI1004" s="108"/>
      <c r="BJ1004" s="108"/>
      <c r="BK1004" s="108"/>
      <c r="BL1004" s="108"/>
      <c r="BM1004" s="108"/>
      <c r="BN1004" s="108"/>
      <c r="BO1004" s="108"/>
      <c r="BP1004" s="108"/>
      <c r="BQ1004" s="108"/>
      <c r="BR1004" s="108"/>
      <c r="BS1004" s="108"/>
      <c r="BT1004" s="108"/>
      <c r="BU1004" s="108"/>
      <c r="BV1004" s="108"/>
      <c r="BW1004" s="108"/>
      <c r="BX1004" s="108"/>
      <c r="BY1004" s="108"/>
      <c r="BZ1004" s="108"/>
      <c r="CA1004" s="108"/>
      <c r="CB1004" s="108"/>
      <c r="CC1004" s="108"/>
      <c r="CD1004" s="108"/>
      <c r="CE1004" s="108"/>
      <c r="CF1004" s="108"/>
      <c r="CG1004" s="108"/>
      <c r="CH1004" s="108"/>
      <c r="CI1004" s="108"/>
      <c r="CJ1004" s="108"/>
      <c r="CK1004" s="108"/>
      <c r="CL1004" s="108"/>
      <c r="CM1004" s="108"/>
      <c r="CN1004" s="110"/>
      <c r="CO1004" s="111"/>
      <c r="CP1004" s="110"/>
      <c r="CQ1004" s="111"/>
      <c r="CR1004" s="110"/>
      <c r="CS1004" s="111"/>
      <c r="CT1004" s="112">
        <f t="shared" si="249"/>
        <v>0</v>
      </c>
      <c r="CU1004" s="113"/>
      <c r="CV1004" s="114"/>
      <c r="CW1004" s="115"/>
      <c r="CX1004" s="116"/>
      <c r="CY1004" s="117"/>
      <c r="CZ1004" s="116"/>
      <c r="DA1004" s="113"/>
      <c r="DB1004" s="114"/>
      <c r="DC1004" s="64"/>
      <c r="DD1004" s="118"/>
    </row>
    <row r="1005" spans="1:108" s="119" customFormat="1" outlineLevel="2">
      <c r="A1005" s="178">
        <v>40484</v>
      </c>
      <c r="B1005" s="164" t="s">
        <v>2300</v>
      </c>
      <c r="C1005" s="164" t="s">
        <v>1037</v>
      </c>
      <c r="D1005" s="166" t="s">
        <v>1262</v>
      </c>
      <c r="E1005" s="163"/>
      <c r="F1005" s="105"/>
      <c r="G1005" s="105"/>
      <c r="H1005" s="105">
        <v>15</v>
      </c>
      <c r="I1005" s="105">
        <v>4</v>
      </c>
      <c r="J1005" s="105"/>
      <c r="K1005" s="105">
        <v>4</v>
      </c>
      <c r="L1005" s="105"/>
      <c r="M1005" s="105"/>
      <c r="N1005" s="105"/>
      <c r="O1005" s="105"/>
      <c r="P1005" s="105"/>
      <c r="Q1005" s="105"/>
      <c r="R1005" s="105"/>
      <c r="S1005" s="105"/>
      <c r="T1005" s="106"/>
      <c r="U1005" s="130"/>
      <c r="V1005" s="1"/>
      <c r="W1005" s="68">
        <f t="shared" si="244"/>
        <v>0</v>
      </c>
      <c r="X1005" s="68">
        <f t="shared" si="245"/>
        <v>0</v>
      </c>
      <c r="Y1005" s="68">
        <f t="shared" si="246"/>
        <v>0</v>
      </c>
      <c r="Z1005" s="68">
        <f t="shared" si="247"/>
        <v>0</v>
      </c>
      <c r="AA1005" s="68"/>
      <c r="AB1005" s="68">
        <v>0</v>
      </c>
      <c r="AC1005" s="69">
        <f t="shared" si="248"/>
        <v>0</v>
      </c>
      <c r="AD1005" s="70">
        <v>0</v>
      </c>
      <c r="AE1005" s="63">
        <v>40483</v>
      </c>
      <c r="AF1005" s="72"/>
      <c r="AG1005" s="63" t="s">
        <v>938</v>
      </c>
      <c r="AH1005" s="23" t="s">
        <v>939</v>
      </c>
      <c r="AI1005" s="60"/>
      <c r="AJ1005" s="124" t="s">
        <v>1608</v>
      </c>
      <c r="AK1005" s="121" t="s">
        <v>1565</v>
      </c>
      <c r="AL1005" s="107"/>
      <c r="AM1005" s="108"/>
      <c r="AN1005" s="109"/>
      <c r="AO1005" s="108"/>
      <c r="AP1005" s="108"/>
      <c r="AQ1005" s="108"/>
      <c r="AR1005" s="108"/>
      <c r="AS1005" s="108"/>
      <c r="AT1005" s="108"/>
      <c r="AU1005" s="108"/>
      <c r="AV1005" s="108"/>
      <c r="AW1005" s="108"/>
      <c r="AX1005" s="108"/>
      <c r="AY1005" s="108"/>
      <c r="AZ1005" s="108"/>
      <c r="BA1005" s="108"/>
      <c r="BB1005" s="108"/>
      <c r="BC1005" s="108"/>
      <c r="BD1005" s="108"/>
      <c r="BE1005" s="108"/>
      <c r="BF1005" s="108"/>
      <c r="BG1005" s="108"/>
      <c r="BH1005" s="108"/>
      <c r="BI1005" s="108"/>
      <c r="BJ1005" s="108"/>
      <c r="BK1005" s="108"/>
      <c r="BL1005" s="108"/>
      <c r="BM1005" s="108"/>
      <c r="BN1005" s="108"/>
      <c r="BO1005" s="108"/>
      <c r="BP1005" s="108"/>
      <c r="BQ1005" s="108"/>
      <c r="BR1005" s="108"/>
      <c r="BS1005" s="108"/>
      <c r="BT1005" s="108"/>
      <c r="BU1005" s="108"/>
      <c r="BV1005" s="108"/>
      <c r="BW1005" s="108"/>
      <c r="BX1005" s="108"/>
      <c r="BY1005" s="108"/>
      <c r="BZ1005" s="108"/>
      <c r="CA1005" s="108"/>
      <c r="CB1005" s="108"/>
      <c r="CC1005" s="108"/>
      <c r="CD1005" s="108"/>
      <c r="CE1005" s="108"/>
      <c r="CF1005" s="108"/>
      <c r="CG1005" s="108"/>
      <c r="CH1005" s="108"/>
      <c r="CI1005" s="108"/>
      <c r="CJ1005" s="108"/>
      <c r="CK1005" s="108"/>
      <c r="CL1005" s="108"/>
      <c r="CM1005" s="108"/>
      <c r="CN1005" s="110"/>
      <c r="CO1005" s="111"/>
      <c r="CP1005" s="110"/>
      <c r="CQ1005" s="111"/>
      <c r="CR1005" s="110"/>
      <c r="CS1005" s="111"/>
      <c r="CT1005" s="112">
        <f t="shared" si="249"/>
        <v>0</v>
      </c>
      <c r="CU1005" s="113"/>
      <c r="CV1005" s="114"/>
      <c r="CW1005" s="115"/>
      <c r="CX1005" s="116"/>
      <c r="CY1005" s="117"/>
      <c r="CZ1005" s="116"/>
      <c r="DA1005" s="113"/>
      <c r="DB1005" s="114"/>
      <c r="DC1005" s="64"/>
      <c r="DD1005" s="118"/>
    </row>
    <row r="1006" spans="1:108" s="119" customFormat="1" ht="36" outlineLevel="2">
      <c r="A1006" s="178">
        <v>40489</v>
      </c>
      <c r="B1006" s="164" t="s">
        <v>2300</v>
      </c>
      <c r="C1006" s="164" t="s">
        <v>2301</v>
      </c>
      <c r="D1006" s="166" t="s">
        <v>1262</v>
      </c>
      <c r="E1006" s="163"/>
      <c r="F1006" s="105"/>
      <c r="G1006" s="105"/>
      <c r="H1006" s="105">
        <v>15</v>
      </c>
      <c r="I1006" s="105">
        <v>2</v>
      </c>
      <c r="J1006" s="105"/>
      <c r="K1006" s="105">
        <v>2</v>
      </c>
      <c r="L1006" s="105"/>
      <c r="M1006" s="105"/>
      <c r="N1006" s="105"/>
      <c r="O1006" s="105"/>
      <c r="P1006" s="105"/>
      <c r="Q1006" s="105"/>
      <c r="R1006" s="105"/>
      <c r="S1006" s="105"/>
      <c r="T1006" s="106"/>
      <c r="U1006" s="130"/>
      <c r="V1006" s="1"/>
      <c r="W1006" s="68">
        <f t="shared" si="244"/>
        <v>0</v>
      </c>
      <c r="X1006" s="68">
        <f t="shared" si="245"/>
        <v>0</v>
      </c>
      <c r="Y1006" s="68">
        <f t="shared" si="246"/>
        <v>0</v>
      </c>
      <c r="Z1006" s="68">
        <f t="shared" si="247"/>
        <v>0</v>
      </c>
      <c r="AA1006" s="68"/>
      <c r="AB1006" s="68">
        <v>0</v>
      </c>
      <c r="AC1006" s="69">
        <f t="shared" si="248"/>
        <v>0</v>
      </c>
      <c r="AD1006" s="70">
        <v>0</v>
      </c>
      <c r="AE1006" s="63">
        <v>40491</v>
      </c>
      <c r="AF1006" s="72"/>
      <c r="AG1006" s="63" t="s">
        <v>938</v>
      </c>
      <c r="AH1006" s="23" t="s">
        <v>939</v>
      </c>
      <c r="AI1006" s="60"/>
      <c r="AJ1006" s="124" t="s">
        <v>1608</v>
      </c>
      <c r="AK1006" s="121" t="s">
        <v>479</v>
      </c>
      <c r="AL1006" s="107"/>
      <c r="AM1006" s="108"/>
      <c r="AN1006" s="109"/>
      <c r="AO1006" s="108"/>
      <c r="AP1006" s="108"/>
      <c r="AQ1006" s="108"/>
      <c r="AR1006" s="108"/>
      <c r="AS1006" s="108"/>
      <c r="AT1006" s="108"/>
      <c r="AU1006" s="108"/>
      <c r="AV1006" s="108"/>
      <c r="AW1006" s="108"/>
      <c r="AX1006" s="108"/>
      <c r="AY1006" s="108"/>
      <c r="AZ1006" s="108"/>
      <c r="BA1006" s="108"/>
      <c r="BB1006" s="108"/>
      <c r="BC1006" s="108"/>
      <c r="BD1006" s="108"/>
      <c r="BE1006" s="108"/>
      <c r="BF1006" s="108"/>
      <c r="BG1006" s="108"/>
      <c r="BH1006" s="108"/>
      <c r="BI1006" s="108"/>
      <c r="BJ1006" s="108"/>
      <c r="BK1006" s="108"/>
      <c r="BL1006" s="108"/>
      <c r="BM1006" s="108"/>
      <c r="BN1006" s="108"/>
      <c r="BO1006" s="108"/>
      <c r="BP1006" s="108"/>
      <c r="BQ1006" s="108"/>
      <c r="BR1006" s="108"/>
      <c r="BS1006" s="108"/>
      <c r="BT1006" s="108"/>
      <c r="BU1006" s="108"/>
      <c r="BV1006" s="108"/>
      <c r="BW1006" s="108"/>
      <c r="BX1006" s="108"/>
      <c r="BY1006" s="108"/>
      <c r="BZ1006" s="108"/>
      <c r="CA1006" s="108"/>
      <c r="CB1006" s="108"/>
      <c r="CC1006" s="108"/>
      <c r="CD1006" s="108"/>
      <c r="CE1006" s="108"/>
      <c r="CF1006" s="108"/>
      <c r="CG1006" s="108"/>
      <c r="CH1006" s="108"/>
      <c r="CI1006" s="108"/>
      <c r="CJ1006" s="108"/>
      <c r="CK1006" s="108"/>
      <c r="CL1006" s="108"/>
      <c r="CM1006" s="108"/>
      <c r="CN1006" s="110"/>
      <c r="CO1006" s="111"/>
      <c r="CP1006" s="110"/>
      <c r="CQ1006" s="111"/>
      <c r="CR1006" s="110"/>
      <c r="CS1006" s="111"/>
      <c r="CT1006" s="112">
        <f t="shared" si="249"/>
        <v>0</v>
      </c>
      <c r="CU1006" s="113"/>
      <c r="CV1006" s="114"/>
      <c r="CW1006" s="115"/>
      <c r="CX1006" s="116"/>
      <c r="CY1006" s="117"/>
      <c r="CZ1006" s="116"/>
      <c r="DA1006" s="113"/>
      <c r="DB1006" s="114"/>
      <c r="DC1006" s="64"/>
      <c r="DD1006" s="118"/>
    </row>
    <row r="1007" spans="1:108" s="119" customFormat="1" outlineLevel="2">
      <c r="A1007" s="178">
        <v>40493</v>
      </c>
      <c r="B1007" s="164" t="s">
        <v>2300</v>
      </c>
      <c r="C1007" s="164" t="s">
        <v>2301</v>
      </c>
      <c r="D1007" s="166" t="s">
        <v>1262</v>
      </c>
      <c r="E1007" s="163"/>
      <c r="F1007" s="105"/>
      <c r="G1007" s="105"/>
      <c r="H1007" s="105">
        <v>360</v>
      </c>
      <c r="I1007" s="105">
        <v>72</v>
      </c>
      <c r="J1007" s="105"/>
      <c r="K1007" s="105">
        <v>72</v>
      </c>
      <c r="L1007" s="105"/>
      <c r="M1007" s="105"/>
      <c r="N1007" s="105"/>
      <c r="O1007" s="105"/>
      <c r="P1007" s="105"/>
      <c r="Q1007" s="105"/>
      <c r="R1007" s="105"/>
      <c r="S1007" s="105"/>
      <c r="T1007" s="106"/>
      <c r="U1007" s="130"/>
      <c r="V1007" s="1"/>
      <c r="W1007" s="68">
        <f t="shared" si="244"/>
        <v>0</v>
      </c>
      <c r="X1007" s="68">
        <f t="shared" si="245"/>
        <v>0</v>
      </c>
      <c r="Y1007" s="68">
        <f t="shared" si="246"/>
        <v>0</v>
      </c>
      <c r="Z1007" s="68">
        <f t="shared" si="247"/>
        <v>0</v>
      </c>
      <c r="AA1007" s="68"/>
      <c r="AB1007" s="68">
        <v>0</v>
      </c>
      <c r="AC1007" s="69">
        <f t="shared" si="248"/>
        <v>0</v>
      </c>
      <c r="AD1007" s="70">
        <v>0</v>
      </c>
      <c r="AE1007" s="63">
        <v>40494</v>
      </c>
      <c r="AF1007" s="72"/>
      <c r="AG1007" s="63" t="s">
        <v>938</v>
      </c>
      <c r="AH1007" s="23" t="s">
        <v>939</v>
      </c>
      <c r="AI1007" s="60"/>
      <c r="AJ1007" s="124" t="s">
        <v>1608</v>
      </c>
      <c r="AK1007" s="121" t="s">
        <v>1612</v>
      </c>
      <c r="AL1007" s="107"/>
      <c r="AM1007" s="108"/>
      <c r="AN1007" s="109"/>
      <c r="AO1007" s="108"/>
      <c r="AP1007" s="108"/>
      <c r="AQ1007" s="108"/>
      <c r="AR1007" s="108"/>
      <c r="AS1007" s="108"/>
      <c r="AT1007" s="108"/>
      <c r="AU1007" s="108"/>
      <c r="AV1007" s="108"/>
      <c r="AW1007" s="108"/>
      <c r="AX1007" s="108"/>
      <c r="AY1007" s="108"/>
      <c r="AZ1007" s="108"/>
      <c r="BA1007" s="108"/>
      <c r="BB1007" s="108"/>
      <c r="BC1007" s="108"/>
      <c r="BD1007" s="108"/>
      <c r="BE1007" s="108"/>
      <c r="BF1007" s="108"/>
      <c r="BG1007" s="108"/>
      <c r="BH1007" s="108"/>
      <c r="BI1007" s="108"/>
      <c r="BJ1007" s="108"/>
      <c r="BK1007" s="108"/>
      <c r="BL1007" s="108"/>
      <c r="BM1007" s="108"/>
      <c r="BN1007" s="108"/>
      <c r="BO1007" s="108"/>
      <c r="BP1007" s="108"/>
      <c r="BQ1007" s="108"/>
      <c r="BR1007" s="108"/>
      <c r="BS1007" s="108"/>
      <c r="BT1007" s="108"/>
      <c r="BU1007" s="108"/>
      <c r="BV1007" s="108"/>
      <c r="BW1007" s="108"/>
      <c r="BX1007" s="108"/>
      <c r="BY1007" s="108"/>
      <c r="BZ1007" s="108"/>
      <c r="CA1007" s="108"/>
      <c r="CB1007" s="108"/>
      <c r="CC1007" s="108"/>
      <c r="CD1007" s="108"/>
      <c r="CE1007" s="108"/>
      <c r="CF1007" s="108"/>
      <c r="CG1007" s="108"/>
      <c r="CH1007" s="108"/>
      <c r="CI1007" s="108"/>
      <c r="CJ1007" s="108"/>
      <c r="CK1007" s="108"/>
      <c r="CL1007" s="108"/>
      <c r="CM1007" s="108"/>
      <c r="CN1007" s="110"/>
      <c r="CO1007" s="111"/>
      <c r="CP1007" s="110"/>
      <c r="CQ1007" s="111"/>
      <c r="CR1007" s="110"/>
      <c r="CS1007" s="111"/>
      <c r="CT1007" s="112">
        <f t="shared" si="249"/>
        <v>0</v>
      </c>
      <c r="CU1007" s="113"/>
      <c r="CV1007" s="114"/>
      <c r="CW1007" s="115"/>
      <c r="CX1007" s="116"/>
      <c r="CY1007" s="117"/>
      <c r="CZ1007" s="116"/>
      <c r="DA1007" s="113"/>
      <c r="DB1007" s="114"/>
      <c r="DC1007" s="64"/>
      <c r="DD1007" s="118"/>
    </row>
    <row r="1008" spans="1:108" s="119" customFormat="1" outlineLevel="2">
      <c r="A1008" s="178">
        <v>40493</v>
      </c>
      <c r="B1008" s="164" t="s">
        <v>2300</v>
      </c>
      <c r="C1008" s="164" t="s">
        <v>1389</v>
      </c>
      <c r="D1008" s="166" t="s">
        <v>435</v>
      </c>
      <c r="E1008" s="163"/>
      <c r="F1008" s="105"/>
      <c r="G1008" s="105"/>
      <c r="H1008" s="105">
        <v>40</v>
      </c>
      <c r="I1008" s="105">
        <v>8</v>
      </c>
      <c r="J1008" s="105"/>
      <c r="K1008" s="105">
        <v>8</v>
      </c>
      <c r="L1008" s="105"/>
      <c r="M1008" s="105"/>
      <c r="N1008" s="105"/>
      <c r="O1008" s="105"/>
      <c r="P1008" s="105"/>
      <c r="Q1008" s="105"/>
      <c r="R1008" s="105"/>
      <c r="S1008" s="105"/>
      <c r="T1008" s="106"/>
      <c r="U1008" s="130"/>
      <c r="V1008" s="1"/>
      <c r="W1008" s="68">
        <f t="shared" si="244"/>
        <v>0</v>
      </c>
      <c r="X1008" s="68">
        <f t="shared" si="245"/>
        <v>0</v>
      </c>
      <c r="Y1008" s="68">
        <f t="shared" si="246"/>
        <v>0</v>
      </c>
      <c r="Z1008" s="68">
        <f t="shared" si="247"/>
        <v>0</v>
      </c>
      <c r="AA1008" s="68"/>
      <c r="AB1008" s="68">
        <v>0</v>
      </c>
      <c r="AC1008" s="69">
        <f t="shared" si="248"/>
        <v>0</v>
      </c>
      <c r="AD1008" s="70">
        <v>0</v>
      </c>
      <c r="AE1008" s="63">
        <v>40494</v>
      </c>
      <c r="AF1008" s="72"/>
      <c r="AG1008" s="63" t="s">
        <v>938</v>
      </c>
      <c r="AH1008" s="23" t="s">
        <v>939</v>
      </c>
      <c r="AI1008" s="60"/>
      <c r="AJ1008" s="124" t="s">
        <v>1608</v>
      </c>
      <c r="AK1008" s="121" t="s">
        <v>1612</v>
      </c>
      <c r="AL1008" s="107"/>
      <c r="AM1008" s="108"/>
      <c r="AN1008" s="109"/>
      <c r="AO1008" s="108"/>
      <c r="AP1008" s="108"/>
      <c r="AQ1008" s="108"/>
      <c r="AR1008" s="108"/>
      <c r="AS1008" s="108"/>
      <c r="AT1008" s="108"/>
      <c r="AU1008" s="108"/>
      <c r="AV1008" s="108"/>
      <c r="AW1008" s="108"/>
      <c r="AX1008" s="108"/>
      <c r="AY1008" s="108"/>
      <c r="AZ1008" s="108"/>
      <c r="BA1008" s="108"/>
      <c r="BB1008" s="108"/>
      <c r="BC1008" s="108"/>
      <c r="BD1008" s="108"/>
      <c r="BE1008" s="108"/>
      <c r="BF1008" s="108"/>
      <c r="BG1008" s="108"/>
      <c r="BH1008" s="108"/>
      <c r="BI1008" s="108"/>
      <c r="BJ1008" s="108"/>
      <c r="BK1008" s="108"/>
      <c r="BL1008" s="108"/>
      <c r="BM1008" s="108"/>
      <c r="BN1008" s="108"/>
      <c r="BO1008" s="108"/>
      <c r="BP1008" s="108"/>
      <c r="BQ1008" s="108"/>
      <c r="BR1008" s="108"/>
      <c r="BS1008" s="108"/>
      <c r="BT1008" s="108"/>
      <c r="BU1008" s="108"/>
      <c r="BV1008" s="108"/>
      <c r="BW1008" s="108"/>
      <c r="BX1008" s="108"/>
      <c r="BY1008" s="108"/>
      <c r="BZ1008" s="108"/>
      <c r="CA1008" s="108"/>
      <c r="CB1008" s="108"/>
      <c r="CC1008" s="108"/>
      <c r="CD1008" s="108"/>
      <c r="CE1008" s="108"/>
      <c r="CF1008" s="108"/>
      <c r="CG1008" s="108"/>
      <c r="CH1008" s="108"/>
      <c r="CI1008" s="108"/>
      <c r="CJ1008" s="108"/>
      <c r="CK1008" s="108"/>
      <c r="CL1008" s="108"/>
      <c r="CM1008" s="108"/>
      <c r="CN1008" s="110"/>
      <c r="CO1008" s="111"/>
      <c r="CP1008" s="110"/>
      <c r="CQ1008" s="111"/>
      <c r="CR1008" s="110"/>
      <c r="CS1008" s="111"/>
      <c r="CT1008" s="112">
        <f t="shared" si="249"/>
        <v>0</v>
      </c>
      <c r="CU1008" s="113"/>
      <c r="CV1008" s="114"/>
      <c r="CW1008" s="115"/>
      <c r="CX1008" s="116"/>
      <c r="CY1008" s="117"/>
      <c r="CZ1008" s="116"/>
      <c r="DA1008" s="113"/>
      <c r="DB1008" s="114"/>
      <c r="DC1008" s="64"/>
      <c r="DD1008" s="118"/>
    </row>
    <row r="1009" spans="1:108" s="119" customFormat="1" ht="36" outlineLevel="2">
      <c r="A1009" s="178">
        <v>40493</v>
      </c>
      <c r="B1009" s="164" t="s">
        <v>2300</v>
      </c>
      <c r="C1009" s="164" t="s">
        <v>1198</v>
      </c>
      <c r="D1009" s="166" t="s">
        <v>1262</v>
      </c>
      <c r="E1009" s="163"/>
      <c r="F1009" s="105"/>
      <c r="G1009" s="105"/>
      <c r="H1009" s="105">
        <v>71</v>
      </c>
      <c r="I1009" s="105">
        <v>17</v>
      </c>
      <c r="J1009" s="105"/>
      <c r="K1009" s="105">
        <v>17</v>
      </c>
      <c r="L1009" s="105"/>
      <c r="M1009" s="105"/>
      <c r="N1009" s="105"/>
      <c r="O1009" s="105"/>
      <c r="P1009" s="105"/>
      <c r="Q1009" s="105"/>
      <c r="R1009" s="105"/>
      <c r="S1009" s="105"/>
      <c r="T1009" s="106"/>
      <c r="U1009" s="130"/>
      <c r="V1009" s="1"/>
      <c r="W1009" s="68">
        <f t="shared" si="244"/>
        <v>0</v>
      </c>
      <c r="X1009" s="68">
        <f t="shared" si="245"/>
        <v>0</v>
      </c>
      <c r="Y1009" s="68">
        <f t="shared" si="246"/>
        <v>0</v>
      </c>
      <c r="Z1009" s="68">
        <f t="shared" si="247"/>
        <v>0</v>
      </c>
      <c r="AA1009" s="68"/>
      <c r="AB1009" s="68">
        <v>0</v>
      </c>
      <c r="AC1009" s="69">
        <f t="shared" si="248"/>
        <v>0</v>
      </c>
      <c r="AD1009" s="70">
        <v>0</v>
      </c>
      <c r="AE1009" s="63">
        <v>40494</v>
      </c>
      <c r="AF1009" s="72"/>
      <c r="AG1009" s="63" t="s">
        <v>938</v>
      </c>
      <c r="AH1009" s="23" t="s">
        <v>939</v>
      </c>
      <c r="AI1009" s="60"/>
      <c r="AJ1009" s="124" t="s">
        <v>1608</v>
      </c>
      <c r="AK1009" s="121" t="s">
        <v>610</v>
      </c>
      <c r="AL1009" s="107"/>
      <c r="AM1009" s="108"/>
      <c r="AN1009" s="109"/>
      <c r="AO1009" s="108"/>
      <c r="AP1009" s="108"/>
      <c r="AQ1009" s="108"/>
      <c r="AR1009" s="108"/>
      <c r="AS1009" s="108"/>
      <c r="AT1009" s="108"/>
      <c r="AU1009" s="108"/>
      <c r="AV1009" s="108"/>
      <c r="AW1009" s="108"/>
      <c r="AX1009" s="108"/>
      <c r="AY1009" s="108"/>
      <c r="AZ1009" s="108"/>
      <c r="BA1009" s="108"/>
      <c r="BB1009" s="108"/>
      <c r="BC1009" s="108"/>
      <c r="BD1009" s="108"/>
      <c r="BE1009" s="108"/>
      <c r="BF1009" s="108"/>
      <c r="BG1009" s="108"/>
      <c r="BH1009" s="108"/>
      <c r="BI1009" s="108"/>
      <c r="BJ1009" s="108"/>
      <c r="BK1009" s="108"/>
      <c r="BL1009" s="108"/>
      <c r="BM1009" s="108"/>
      <c r="BN1009" s="108"/>
      <c r="BO1009" s="108"/>
      <c r="BP1009" s="108"/>
      <c r="BQ1009" s="108"/>
      <c r="BR1009" s="108"/>
      <c r="BS1009" s="108"/>
      <c r="BT1009" s="108"/>
      <c r="BU1009" s="108"/>
      <c r="BV1009" s="108"/>
      <c r="BW1009" s="108"/>
      <c r="BX1009" s="108"/>
      <c r="BY1009" s="108"/>
      <c r="BZ1009" s="108"/>
      <c r="CA1009" s="108"/>
      <c r="CB1009" s="108"/>
      <c r="CC1009" s="108"/>
      <c r="CD1009" s="108"/>
      <c r="CE1009" s="108"/>
      <c r="CF1009" s="108"/>
      <c r="CG1009" s="108"/>
      <c r="CH1009" s="108"/>
      <c r="CI1009" s="108"/>
      <c r="CJ1009" s="108"/>
      <c r="CK1009" s="108"/>
      <c r="CL1009" s="108"/>
      <c r="CM1009" s="108"/>
      <c r="CN1009" s="110"/>
      <c r="CO1009" s="111"/>
      <c r="CP1009" s="110"/>
      <c r="CQ1009" s="111"/>
      <c r="CR1009" s="110"/>
      <c r="CS1009" s="111"/>
      <c r="CT1009" s="112">
        <f t="shared" si="249"/>
        <v>0</v>
      </c>
      <c r="CU1009" s="113"/>
      <c r="CV1009" s="114"/>
      <c r="CW1009" s="115"/>
      <c r="CX1009" s="116"/>
      <c r="CY1009" s="117"/>
      <c r="CZ1009" s="116"/>
      <c r="DA1009" s="113"/>
      <c r="DB1009" s="114"/>
      <c r="DC1009" s="64"/>
      <c r="DD1009" s="118"/>
    </row>
    <row r="1010" spans="1:108" s="119" customFormat="1" ht="24" outlineLevel="2">
      <c r="A1010" s="178">
        <v>40495</v>
      </c>
      <c r="B1010" s="164" t="s">
        <v>2300</v>
      </c>
      <c r="C1010" s="164" t="s">
        <v>1198</v>
      </c>
      <c r="D1010" s="166" t="s">
        <v>1262</v>
      </c>
      <c r="E1010" s="163"/>
      <c r="F1010" s="105"/>
      <c r="G1010" s="105"/>
      <c r="H1010" s="105">
        <v>10</v>
      </c>
      <c r="I1010" s="105">
        <v>2</v>
      </c>
      <c r="J1010" s="105"/>
      <c r="K1010" s="105">
        <v>2</v>
      </c>
      <c r="L1010" s="105"/>
      <c r="M1010" s="105"/>
      <c r="N1010" s="105"/>
      <c r="O1010" s="105"/>
      <c r="P1010" s="105"/>
      <c r="Q1010" s="105"/>
      <c r="R1010" s="105"/>
      <c r="S1010" s="105"/>
      <c r="T1010" s="106"/>
      <c r="U1010" s="130"/>
      <c r="V1010" s="1"/>
      <c r="W1010" s="68">
        <f t="shared" si="244"/>
        <v>0</v>
      </c>
      <c r="X1010" s="68">
        <f t="shared" si="245"/>
        <v>0</v>
      </c>
      <c r="Y1010" s="68">
        <f t="shared" si="246"/>
        <v>0</v>
      </c>
      <c r="Z1010" s="68">
        <f t="shared" si="247"/>
        <v>0</v>
      </c>
      <c r="AA1010" s="68"/>
      <c r="AB1010" s="68">
        <v>0</v>
      </c>
      <c r="AC1010" s="69">
        <f t="shared" si="248"/>
        <v>0</v>
      </c>
      <c r="AD1010" s="70">
        <v>0</v>
      </c>
      <c r="AE1010" s="63">
        <v>40497</v>
      </c>
      <c r="AF1010" s="72"/>
      <c r="AG1010" s="63" t="s">
        <v>938</v>
      </c>
      <c r="AH1010" s="23" t="s">
        <v>939</v>
      </c>
      <c r="AI1010" s="60"/>
      <c r="AJ1010" s="124" t="s">
        <v>1608</v>
      </c>
      <c r="AK1010" s="121" t="s">
        <v>25</v>
      </c>
      <c r="AL1010" s="107"/>
      <c r="AM1010" s="108"/>
      <c r="AN1010" s="109"/>
      <c r="AO1010" s="108"/>
      <c r="AP1010" s="108"/>
      <c r="AQ1010" s="108"/>
      <c r="AR1010" s="108"/>
      <c r="AS1010" s="108"/>
      <c r="AT1010" s="108"/>
      <c r="AU1010" s="108"/>
      <c r="AV1010" s="108"/>
      <c r="AW1010" s="108"/>
      <c r="AX1010" s="108"/>
      <c r="AY1010" s="108"/>
      <c r="AZ1010" s="108"/>
      <c r="BA1010" s="108"/>
      <c r="BB1010" s="108"/>
      <c r="BC1010" s="108"/>
      <c r="BD1010" s="108"/>
      <c r="BE1010" s="108"/>
      <c r="BF1010" s="108"/>
      <c r="BG1010" s="108"/>
      <c r="BH1010" s="108"/>
      <c r="BI1010" s="108"/>
      <c r="BJ1010" s="108"/>
      <c r="BK1010" s="108"/>
      <c r="BL1010" s="108"/>
      <c r="BM1010" s="108"/>
      <c r="BN1010" s="108"/>
      <c r="BO1010" s="108"/>
      <c r="BP1010" s="108"/>
      <c r="BQ1010" s="108"/>
      <c r="BR1010" s="108"/>
      <c r="BS1010" s="108"/>
      <c r="BT1010" s="108"/>
      <c r="BU1010" s="108"/>
      <c r="BV1010" s="108"/>
      <c r="BW1010" s="108"/>
      <c r="BX1010" s="108"/>
      <c r="BY1010" s="108"/>
      <c r="BZ1010" s="108"/>
      <c r="CA1010" s="108"/>
      <c r="CB1010" s="108"/>
      <c r="CC1010" s="108"/>
      <c r="CD1010" s="108"/>
      <c r="CE1010" s="108"/>
      <c r="CF1010" s="108"/>
      <c r="CG1010" s="108"/>
      <c r="CH1010" s="108"/>
      <c r="CI1010" s="108"/>
      <c r="CJ1010" s="108"/>
      <c r="CK1010" s="108"/>
      <c r="CL1010" s="108"/>
      <c r="CM1010" s="108"/>
      <c r="CN1010" s="110"/>
      <c r="CO1010" s="111"/>
      <c r="CP1010" s="110"/>
      <c r="CQ1010" s="111"/>
      <c r="CR1010" s="110"/>
      <c r="CS1010" s="111"/>
      <c r="CT1010" s="112">
        <f t="shared" si="249"/>
        <v>0</v>
      </c>
      <c r="CU1010" s="113"/>
      <c r="CV1010" s="114"/>
      <c r="CW1010" s="115"/>
      <c r="CX1010" s="116"/>
      <c r="CY1010" s="117"/>
      <c r="CZ1010" s="116"/>
      <c r="DA1010" s="113"/>
      <c r="DB1010" s="114"/>
      <c r="DC1010" s="64"/>
      <c r="DD1010" s="118"/>
    </row>
    <row r="1011" spans="1:108" s="119" customFormat="1" ht="36" outlineLevel="2">
      <c r="A1011" s="178">
        <v>40499</v>
      </c>
      <c r="B1011" s="164" t="s">
        <v>2300</v>
      </c>
      <c r="C1011" s="164" t="s">
        <v>1402</v>
      </c>
      <c r="D1011" s="166" t="s">
        <v>1262</v>
      </c>
      <c r="E1011" s="163"/>
      <c r="F1011" s="105"/>
      <c r="G1011" s="105"/>
      <c r="H1011" s="105">
        <v>450</v>
      </c>
      <c r="I1011" s="105">
        <v>90</v>
      </c>
      <c r="J1011" s="105"/>
      <c r="K1011" s="105">
        <v>90</v>
      </c>
      <c r="L1011" s="105"/>
      <c r="M1011" s="105">
        <v>1</v>
      </c>
      <c r="N1011" s="105"/>
      <c r="O1011" s="105"/>
      <c r="P1011" s="105"/>
      <c r="Q1011" s="105"/>
      <c r="R1011" s="105"/>
      <c r="S1011" s="105"/>
      <c r="T1011" s="106"/>
      <c r="U1011" s="130"/>
      <c r="V1011" s="1"/>
      <c r="W1011" s="68">
        <f t="shared" si="244"/>
        <v>0</v>
      </c>
      <c r="X1011" s="68">
        <f t="shared" si="245"/>
        <v>0</v>
      </c>
      <c r="Y1011" s="68">
        <f t="shared" si="246"/>
        <v>0</v>
      </c>
      <c r="Z1011" s="68">
        <f t="shared" si="247"/>
        <v>0</v>
      </c>
      <c r="AA1011" s="68"/>
      <c r="AB1011" s="68">
        <v>0</v>
      </c>
      <c r="AC1011" s="69">
        <f t="shared" si="248"/>
        <v>0</v>
      </c>
      <c r="AD1011" s="70">
        <v>0</v>
      </c>
      <c r="AE1011" s="63">
        <v>40504</v>
      </c>
      <c r="AF1011" s="72"/>
      <c r="AG1011" s="63" t="s">
        <v>938</v>
      </c>
      <c r="AH1011" s="23" t="s">
        <v>939</v>
      </c>
      <c r="AI1011" s="60"/>
      <c r="AJ1011" s="124" t="s">
        <v>1608</v>
      </c>
      <c r="AK1011" s="121" t="s">
        <v>636</v>
      </c>
      <c r="AL1011" s="107"/>
      <c r="AM1011" s="108"/>
      <c r="AN1011" s="109"/>
      <c r="AO1011" s="108"/>
      <c r="AP1011" s="108"/>
      <c r="AQ1011" s="108"/>
      <c r="AR1011" s="108"/>
      <c r="AS1011" s="108"/>
      <c r="AT1011" s="108"/>
      <c r="AU1011" s="108"/>
      <c r="AV1011" s="108"/>
      <c r="AW1011" s="108"/>
      <c r="AX1011" s="108"/>
      <c r="AY1011" s="108"/>
      <c r="AZ1011" s="108"/>
      <c r="BA1011" s="108"/>
      <c r="BB1011" s="108"/>
      <c r="BC1011" s="108"/>
      <c r="BD1011" s="108"/>
      <c r="BE1011" s="108"/>
      <c r="BF1011" s="108"/>
      <c r="BG1011" s="108"/>
      <c r="BH1011" s="108"/>
      <c r="BI1011" s="108"/>
      <c r="BJ1011" s="108"/>
      <c r="BK1011" s="108"/>
      <c r="BL1011" s="108"/>
      <c r="BM1011" s="108"/>
      <c r="BN1011" s="108"/>
      <c r="BO1011" s="108"/>
      <c r="BP1011" s="108"/>
      <c r="BQ1011" s="108"/>
      <c r="BR1011" s="108"/>
      <c r="BS1011" s="108"/>
      <c r="BT1011" s="108"/>
      <c r="BU1011" s="108"/>
      <c r="BV1011" s="108"/>
      <c r="BW1011" s="108"/>
      <c r="BX1011" s="108"/>
      <c r="BY1011" s="108"/>
      <c r="BZ1011" s="108"/>
      <c r="CA1011" s="108"/>
      <c r="CB1011" s="108"/>
      <c r="CC1011" s="108"/>
      <c r="CD1011" s="108"/>
      <c r="CE1011" s="108"/>
      <c r="CF1011" s="108"/>
      <c r="CG1011" s="108"/>
      <c r="CH1011" s="108"/>
      <c r="CI1011" s="108"/>
      <c r="CJ1011" s="108"/>
      <c r="CK1011" s="108"/>
      <c r="CL1011" s="108"/>
      <c r="CM1011" s="108"/>
      <c r="CN1011" s="110"/>
      <c r="CO1011" s="111"/>
      <c r="CP1011" s="110"/>
      <c r="CQ1011" s="111"/>
      <c r="CR1011" s="110"/>
      <c r="CS1011" s="111"/>
      <c r="CT1011" s="112">
        <f t="shared" si="249"/>
        <v>0</v>
      </c>
      <c r="CU1011" s="113"/>
      <c r="CV1011" s="114"/>
      <c r="CW1011" s="115"/>
      <c r="CX1011" s="116"/>
      <c r="CY1011" s="117"/>
      <c r="CZ1011" s="116"/>
      <c r="DA1011" s="113"/>
      <c r="DB1011" s="114"/>
      <c r="DC1011" s="64"/>
      <c r="DD1011" s="118"/>
    </row>
    <row r="1012" spans="1:108" s="119" customFormat="1" ht="72" outlineLevel="2">
      <c r="A1012" s="178">
        <v>40499</v>
      </c>
      <c r="B1012" s="164" t="s">
        <v>2300</v>
      </c>
      <c r="C1012" s="164" t="s">
        <v>1172</v>
      </c>
      <c r="D1012" s="166" t="s">
        <v>1262</v>
      </c>
      <c r="E1012" s="163"/>
      <c r="F1012" s="105"/>
      <c r="G1012" s="105"/>
      <c r="H1012" s="105"/>
      <c r="I1012" s="105"/>
      <c r="J1012" s="105"/>
      <c r="K1012" s="105"/>
      <c r="L1012" s="105">
        <v>2</v>
      </c>
      <c r="M1012" s="105">
        <v>1</v>
      </c>
      <c r="N1012" s="105"/>
      <c r="O1012" s="105">
        <v>1</v>
      </c>
      <c r="P1012" s="105"/>
      <c r="Q1012" s="105"/>
      <c r="R1012" s="105"/>
      <c r="S1012" s="105"/>
      <c r="T1012" s="106"/>
      <c r="U1012" s="130"/>
      <c r="V1012" s="1"/>
      <c r="W1012" s="68">
        <f t="shared" si="244"/>
        <v>0</v>
      </c>
      <c r="X1012" s="68">
        <f t="shared" si="245"/>
        <v>0</v>
      </c>
      <c r="Y1012" s="68">
        <f t="shared" si="246"/>
        <v>0</v>
      </c>
      <c r="Z1012" s="68">
        <f t="shared" si="247"/>
        <v>0</v>
      </c>
      <c r="AA1012" s="68"/>
      <c r="AB1012" s="68">
        <v>0</v>
      </c>
      <c r="AC1012" s="69">
        <f t="shared" si="248"/>
        <v>0</v>
      </c>
      <c r="AD1012" s="70">
        <v>0</v>
      </c>
      <c r="AE1012" s="63">
        <v>40504</v>
      </c>
      <c r="AF1012" s="72"/>
      <c r="AG1012" s="63" t="s">
        <v>938</v>
      </c>
      <c r="AH1012" s="23" t="s">
        <v>939</v>
      </c>
      <c r="AI1012" s="60"/>
      <c r="AJ1012" s="124" t="s">
        <v>1608</v>
      </c>
      <c r="AK1012" s="121" t="s">
        <v>93</v>
      </c>
      <c r="AL1012" s="107"/>
      <c r="AM1012" s="108"/>
      <c r="AN1012" s="109"/>
      <c r="AO1012" s="108"/>
      <c r="AP1012" s="108"/>
      <c r="AQ1012" s="108"/>
      <c r="AR1012" s="108"/>
      <c r="AS1012" s="108"/>
      <c r="AT1012" s="108"/>
      <c r="AU1012" s="108"/>
      <c r="AV1012" s="108"/>
      <c r="AW1012" s="108"/>
      <c r="AX1012" s="108"/>
      <c r="AY1012" s="108"/>
      <c r="AZ1012" s="108"/>
      <c r="BA1012" s="108"/>
      <c r="BB1012" s="108"/>
      <c r="BC1012" s="108"/>
      <c r="BD1012" s="108"/>
      <c r="BE1012" s="108"/>
      <c r="BF1012" s="108"/>
      <c r="BG1012" s="108"/>
      <c r="BH1012" s="108"/>
      <c r="BI1012" s="108"/>
      <c r="BJ1012" s="108"/>
      <c r="BK1012" s="108"/>
      <c r="BL1012" s="108"/>
      <c r="BM1012" s="108"/>
      <c r="BN1012" s="108"/>
      <c r="BO1012" s="108"/>
      <c r="BP1012" s="108"/>
      <c r="BQ1012" s="108"/>
      <c r="BR1012" s="108"/>
      <c r="BS1012" s="108"/>
      <c r="BT1012" s="108"/>
      <c r="BU1012" s="108"/>
      <c r="BV1012" s="108"/>
      <c r="BW1012" s="108"/>
      <c r="BX1012" s="108"/>
      <c r="BY1012" s="108"/>
      <c r="BZ1012" s="108"/>
      <c r="CA1012" s="108"/>
      <c r="CB1012" s="108"/>
      <c r="CC1012" s="108"/>
      <c r="CD1012" s="108"/>
      <c r="CE1012" s="108"/>
      <c r="CF1012" s="108"/>
      <c r="CG1012" s="108"/>
      <c r="CH1012" s="108"/>
      <c r="CI1012" s="108"/>
      <c r="CJ1012" s="108"/>
      <c r="CK1012" s="108"/>
      <c r="CL1012" s="108"/>
      <c r="CM1012" s="108"/>
      <c r="CN1012" s="110"/>
      <c r="CO1012" s="111"/>
      <c r="CP1012" s="110"/>
      <c r="CQ1012" s="111"/>
      <c r="CR1012" s="110"/>
      <c r="CS1012" s="111"/>
      <c r="CT1012" s="112">
        <f t="shared" si="249"/>
        <v>0</v>
      </c>
      <c r="CU1012" s="113"/>
      <c r="CV1012" s="114"/>
      <c r="CW1012" s="115"/>
      <c r="CX1012" s="116"/>
      <c r="CY1012" s="117"/>
      <c r="CZ1012" s="116"/>
      <c r="DA1012" s="113"/>
      <c r="DB1012" s="114"/>
      <c r="DC1012" s="64"/>
      <c r="DD1012" s="118"/>
    </row>
    <row r="1013" spans="1:108" s="119" customFormat="1" outlineLevel="2">
      <c r="A1013" s="178">
        <v>40500</v>
      </c>
      <c r="B1013" s="164" t="s">
        <v>2300</v>
      </c>
      <c r="C1013" s="164" t="s">
        <v>641</v>
      </c>
      <c r="D1013" s="166" t="s">
        <v>1262</v>
      </c>
      <c r="E1013" s="163"/>
      <c r="F1013" s="105"/>
      <c r="G1013" s="105"/>
      <c r="H1013" s="105">
        <v>15</v>
      </c>
      <c r="I1013" s="105">
        <v>4</v>
      </c>
      <c r="J1013" s="105"/>
      <c r="K1013" s="105">
        <v>4</v>
      </c>
      <c r="L1013" s="105"/>
      <c r="M1013" s="105"/>
      <c r="N1013" s="105"/>
      <c r="O1013" s="105"/>
      <c r="P1013" s="105"/>
      <c r="Q1013" s="105"/>
      <c r="R1013" s="105"/>
      <c r="S1013" s="105"/>
      <c r="T1013" s="106"/>
      <c r="U1013" s="130"/>
      <c r="V1013" s="1"/>
      <c r="W1013" s="68">
        <f t="shared" si="244"/>
        <v>0</v>
      </c>
      <c r="X1013" s="68">
        <f t="shared" si="245"/>
        <v>0</v>
      </c>
      <c r="Y1013" s="68">
        <f t="shared" si="246"/>
        <v>0</v>
      </c>
      <c r="Z1013" s="68">
        <f t="shared" si="247"/>
        <v>0</v>
      </c>
      <c r="AA1013" s="68"/>
      <c r="AB1013" s="68">
        <v>0</v>
      </c>
      <c r="AC1013" s="69">
        <f t="shared" si="248"/>
        <v>0</v>
      </c>
      <c r="AD1013" s="70">
        <v>0</v>
      </c>
      <c r="AE1013" s="63">
        <v>40504</v>
      </c>
      <c r="AF1013" s="72"/>
      <c r="AG1013" s="63" t="s">
        <v>938</v>
      </c>
      <c r="AH1013" s="23" t="s">
        <v>939</v>
      </c>
      <c r="AI1013" s="60"/>
      <c r="AJ1013" s="124" t="s">
        <v>1608</v>
      </c>
      <c r="AK1013" s="121"/>
      <c r="AL1013" s="107"/>
      <c r="AM1013" s="108"/>
      <c r="AN1013" s="109"/>
      <c r="AO1013" s="108"/>
      <c r="AP1013" s="108"/>
      <c r="AQ1013" s="108"/>
      <c r="AR1013" s="108"/>
      <c r="AS1013" s="108"/>
      <c r="AT1013" s="108"/>
      <c r="AU1013" s="108"/>
      <c r="AV1013" s="108"/>
      <c r="AW1013" s="108"/>
      <c r="AX1013" s="108"/>
      <c r="AY1013" s="108"/>
      <c r="AZ1013" s="108"/>
      <c r="BA1013" s="108"/>
      <c r="BB1013" s="108"/>
      <c r="BC1013" s="108"/>
      <c r="BD1013" s="108"/>
      <c r="BE1013" s="108"/>
      <c r="BF1013" s="108"/>
      <c r="BG1013" s="108"/>
      <c r="BH1013" s="108"/>
      <c r="BI1013" s="108"/>
      <c r="BJ1013" s="108"/>
      <c r="BK1013" s="108"/>
      <c r="BL1013" s="108"/>
      <c r="BM1013" s="108"/>
      <c r="BN1013" s="108"/>
      <c r="BO1013" s="108"/>
      <c r="BP1013" s="108"/>
      <c r="BQ1013" s="108"/>
      <c r="BR1013" s="108"/>
      <c r="BS1013" s="108"/>
      <c r="BT1013" s="108"/>
      <c r="BU1013" s="108"/>
      <c r="BV1013" s="108"/>
      <c r="BW1013" s="108"/>
      <c r="BX1013" s="108"/>
      <c r="BY1013" s="108"/>
      <c r="BZ1013" s="108"/>
      <c r="CA1013" s="108"/>
      <c r="CB1013" s="108"/>
      <c r="CC1013" s="108"/>
      <c r="CD1013" s="108"/>
      <c r="CE1013" s="108"/>
      <c r="CF1013" s="108"/>
      <c r="CG1013" s="108"/>
      <c r="CH1013" s="108"/>
      <c r="CI1013" s="108"/>
      <c r="CJ1013" s="108"/>
      <c r="CK1013" s="108"/>
      <c r="CL1013" s="108"/>
      <c r="CM1013" s="108"/>
      <c r="CN1013" s="110"/>
      <c r="CO1013" s="111"/>
      <c r="CP1013" s="110"/>
      <c r="CQ1013" s="111"/>
      <c r="CR1013" s="110"/>
      <c r="CS1013" s="111"/>
      <c r="CT1013" s="112">
        <f t="shared" si="249"/>
        <v>0</v>
      </c>
      <c r="CU1013" s="113"/>
      <c r="CV1013" s="114"/>
      <c r="CW1013" s="115"/>
      <c r="CX1013" s="116"/>
      <c r="CY1013" s="117"/>
      <c r="CZ1013" s="116"/>
      <c r="DA1013" s="113"/>
      <c r="DB1013" s="114"/>
      <c r="DC1013" s="64"/>
      <c r="DD1013" s="118"/>
    </row>
    <row r="1014" spans="1:108" s="119" customFormat="1" outlineLevel="2">
      <c r="A1014" s="178">
        <v>40504</v>
      </c>
      <c r="B1014" s="164" t="s">
        <v>2300</v>
      </c>
      <c r="C1014" s="164" t="s">
        <v>858</v>
      </c>
      <c r="D1014" s="166" t="s">
        <v>435</v>
      </c>
      <c r="E1014" s="163"/>
      <c r="F1014" s="105"/>
      <c r="G1014" s="105"/>
      <c r="H1014" s="105">
        <v>75</v>
      </c>
      <c r="I1014" s="105">
        <v>15</v>
      </c>
      <c r="J1014" s="105"/>
      <c r="K1014" s="105">
        <v>15</v>
      </c>
      <c r="L1014" s="105"/>
      <c r="M1014" s="105"/>
      <c r="N1014" s="105"/>
      <c r="O1014" s="105"/>
      <c r="P1014" s="105"/>
      <c r="Q1014" s="105"/>
      <c r="R1014" s="105"/>
      <c r="S1014" s="105"/>
      <c r="T1014" s="106"/>
      <c r="U1014" s="130"/>
      <c r="V1014" s="1"/>
      <c r="W1014" s="68">
        <f t="shared" si="244"/>
        <v>0</v>
      </c>
      <c r="X1014" s="68">
        <f t="shared" si="245"/>
        <v>0</v>
      </c>
      <c r="Y1014" s="68">
        <f t="shared" si="246"/>
        <v>0</v>
      </c>
      <c r="Z1014" s="68">
        <f t="shared" si="247"/>
        <v>0</v>
      </c>
      <c r="AA1014" s="68"/>
      <c r="AB1014" s="68">
        <v>0</v>
      </c>
      <c r="AC1014" s="69">
        <f t="shared" si="248"/>
        <v>0</v>
      </c>
      <c r="AD1014" s="70">
        <v>0</v>
      </c>
      <c r="AE1014" s="63">
        <v>40505</v>
      </c>
      <c r="AF1014" s="72"/>
      <c r="AG1014" s="63" t="s">
        <v>938</v>
      </c>
      <c r="AH1014" s="23" t="s">
        <v>939</v>
      </c>
      <c r="AI1014" s="60"/>
      <c r="AJ1014" s="124" t="s">
        <v>1608</v>
      </c>
      <c r="AK1014" s="121" t="s">
        <v>986</v>
      </c>
      <c r="AL1014" s="107"/>
      <c r="AM1014" s="108"/>
      <c r="AN1014" s="109"/>
      <c r="AO1014" s="108"/>
      <c r="AP1014" s="108"/>
      <c r="AQ1014" s="108"/>
      <c r="AR1014" s="108"/>
      <c r="AS1014" s="108"/>
      <c r="AT1014" s="108"/>
      <c r="AU1014" s="108"/>
      <c r="AV1014" s="108"/>
      <c r="AW1014" s="108"/>
      <c r="AX1014" s="108"/>
      <c r="AY1014" s="108"/>
      <c r="AZ1014" s="108"/>
      <c r="BA1014" s="108"/>
      <c r="BB1014" s="108"/>
      <c r="BC1014" s="108"/>
      <c r="BD1014" s="108"/>
      <c r="BE1014" s="108"/>
      <c r="BF1014" s="108"/>
      <c r="BG1014" s="108"/>
      <c r="BH1014" s="108"/>
      <c r="BI1014" s="108"/>
      <c r="BJ1014" s="108"/>
      <c r="BK1014" s="108"/>
      <c r="BL1014" s="108"/>
      <c r="BM1014" s="108"/>
      <c r="BN1014" s="108"/>
      <c r="BO1014" s="108"/>
      <c r="BP1014" s="108"/>
      <c r="BQ1014" s="108"/>
      <c r="BR1014" s="108"/>
      <c r="BS1014" s="108"/>
      <c r="BT1014" s="108"/>
      <c r="BU1014" s="108"/>
      <c r="BV1014" s="108"/>
      <c r="BW1014" s="108"/>
      <c r="BX1014" s="108"/>
      <c r="BY1014" s="108"/>
      <c r="BZ1014" s="108"/>
      <c r="CA1014" s="108"/>
      <c r="CB1014" s="108"/>
      <c r="CC1014" s="108"/>
      <c r="CD1014" s="108"/>
      <c r="CE1014" s="108"/>
      <c r="CF1014" s="108"/>
      <c r="CG1014" s="108"/>
      <c r="CH1014" s="108"/>
      <c r="CI1014" s="108"/>
      <c r="CJ1014" s="108"/>
      <c r="CK1014" s="108"/>
      <c r="CL1014" s="108"/>
      <c r="CM1014" s="108"/>
      <c r="CN1014" s="110"/>
      <c r="CO1014" s="111"/>
      <c r="CP1014" s="110"/>
      <c r="CQ1014" s="111"/>
      <c r="CR1014" s="110"/>
      <c r="CS1014" s="111"/>
      <c r="CT1014" s="112">
        <f t="shared" si="249"/>
        <v>0</v>
      </c>
      <c r="CU1014" s="113"/>
      <c r="CV1014" s="114"/>
      <c r="CW1014" s="115"/>
      <c r="CX1014" s="116"/>
      <c r="CY1014" s="117"/>
      <c r="CZ1014" s="116"/>
      <c r="DA1014" s="113"/>
      <c r="DB1014" s="114"/>
      <c r="DC1014" s="64"/>
      <c r="DD1014" s="118"/>
    </row>
    <row r="1015" spans="1:108" s="119" customFormat="1" ht="24.75" outlineLevel="2">
      <c r="A1015" s="178">
        <v>40516</v>
      </c>
      <c r="B1015" s="164" t="s">
        <v>2300</v>
      </c>
      <c r="C1015" s="164" t="s">
        <v>35</v>
      </c>
      <c r="D1015" s="166" t="s">
        <v>1262</v>
      </c>
      <c r="E1015" s="163"/>
      <c r="F1015" s="105"/>
      <c r="G1015" s="105"/>
      <c r="H1015" s="105">
        <v>15</v>
      </c>
      <c r="I1015" s="105">
        <v>3</v>
      </c>
      <c r="J1015" s="105"/>
      <c r="K1015" s="105">
        <v>3</v>
      </c>
      <c r="L1015" s="105"/>
      <c r="M1015" s="105"/>
      <c r="N1015" s="105"/>
      <c r="O1015" s="105"/>
      <c r="P1015" s="105"/>
      <c r="Q1015" s="105"/>
      <c r="R1015" s="105"/>
      <c r="S1015" s="105"/>
      <c r="T1015" s="106"/>
      <c r="U1015" s="130" t="s">
        <v>163</v>
      </c>
      <c r="V1015" s="1"/>
      <c r="W1015" s="68">
        <f t="shared" si="244"/>
        <v>0</v>
      </c>
      <c r="X1015" s="68">
        <f t="shared" si="245"/>
        <v>0</v>
      </c>
      <c r="Y1015" s="68">
        <f t="shared" si="246"/>
        <v>0</v>
      </c>
      <c r="Z1015" s="68">
        <f t="shared" si="247"/>
        <v>0</v>
      </c>
      <c r="AA1015" s="68"/>
      <c r="AB1015" s="68">
        <v>0</v>
      </c>
      <c r="AC1015" s="69">
        <f t="shared" si="248"/>
        <v>0</v>
      </c>
      <c r="AD1015" s="70">
        <v>0</v>
      </c>
      <c r="AE1015" s="63"/>
      <c r="AF1015" s="72"/>
      <c r="AG1015" s="63"/>
      <c r="AH1015" s="23"/>
      <c r="AI1015" s="60"/>
      <c r="AJ1015" s="124"/>
      <c r="AK1015" s="121" t="s">
        <v>162</v>
      </c>
      <c r="AL1015" s="107"/>
      <c r="AM1015" s="108"/>
      <c r="AN1015" s="109"/>
      <c r="AO1015" s="108"/>
      <c r="AP1015" s="108"/>
      <c r="AQ1015" s="108"/>
      <c r="AR1015" s="108"/>
      <c r="AS1015" s="108"/>
      <c r="AT1015" s="108"/>
      <c r="AU1015" s="108"/>
      <c r="AV1015" s="108"/>
      <c r="AW1015" s="108"/>
      <c r="AX1015" s="108"/>
      <c r="AY1015" s="108"/>
      <c r="AZ1015" s="108"/>
      <c r="BA1015" s="108"/>
      <c r="BB1015" s="108"/>
      <c r="BC1015" s="108"/>
      <c r="BD1015" s="108"/>
      <c r="BE1015" s="108"/>
      <c r="BF1015" s="108"/>
      <c r="BG1015" s="108"/>
      <c r="BH1015" s="108"/>
      <c r="BI1015" s="108"/>
      <c r="BJ1015" s="108"/>
      <c r="BK1015" s="108"/>
      <c r="BL1015" s="108"/>
      <c r="BM1015" s="108"/>
      <c r="BN1015" s="108"/>
      <c r="BO1015" s="108"/>
      <c r="BP1015" s="108"/>
      <c r="BQ1015" s="108"/>
      <c r="BR1015" s="108"/>
      <c r="BS1015" s="108"/>
      <c r="BT1015" s="108"/>
      <c r="BU1015" s="108"/>
      <c r="BV1015" s="108"/>
      <c r="BW1015" s="108"/>
      <c r="BX1015" s="108"/>
      <c r="BY1015" s="108"/>
      <c r="BZ1015" s="108"/>
      <c r="CA1015" s="108"/>
      <c r="CB1015" s="108"/>
      <c r="CC1015" s="108"/>
      <c r="CD1015" s="108"/>
      <c r="CE1015" s="108"/>
      <c r="CF1015" s="108"/>
      <c r="CG1015" s="108"/>
      <c r="CH1015" s="108"/>
      <c r="CI1015" s="108"/>
      <c r="CJ1015" s="108"/>
      <c r="CK1015" s="108"/>
      <c r="CL1015" s="108"/>
      <c r="CM1015" s="108"/>
      <c r="CN1015" s="110"/>
      <c r="CO1015" s="111"/>
      <c r="CP1015" s="110"/>
      <c r="CQ1015" s="111"/>
      <c r="CR1015" s="110"/>
      <c r="CS1015" s="111"/>
      <c r="CT1015" s="112">
        <f t="shared" si="249"/>
        <v>0</v>
      </c>
      <c r="CU1015" s="113"/>
      <c r="CV1015" s="114"/>
      <c r="CW1015" s="115"/>
      <c r="CX1015" s="116"/>
      <c r="CY1015" s="117"/>
      <c r="CZ1015" s="116"/>
      <c r="DA1015" s="113"/>
      <c r="DB1015" s="114"/>
      <c r="DC1015" s="64"/>
      <c r="DD1015" s="118"/>
    </row>
    <row r="1016" spans="1:108" s="119" customFormat="1" outlineLevel="1">
      <c r="A1016" s="178"/>
      <c r="B1016" s="192" t="s">
        <v>2456</v>
      </c>
      <c r="C1016" s="164"/>
      <c r="D1016" s="166"/>
      <c r="E1016" s="163">
        <f t="shared" ref="E1016:T1016" si="250">SUBTOTAL(9,E971:E1015)</f>
        <v>3</v>
      </c>
      <c r="F1016" s="105">
        <f t="shared" si="250"/>
        <v>3</v>
      </c>
      <c r="G1016" s="105">
        <f t="shared" si="250"/>
        <v>1</v>
      </c>
      <c r="H1016" s="105">
        <f t="shared" si="250"/>
        <v>14270</v>
      </c>
      <c r="I1016" s="105">
        <f t="shared" si="250"/>
        <v>2699</v>
      </c>
      <c r="J1016" s="105">
        <f t="shared" si="250"/>
        <v>18</v>
      </c>
      <c r="K1016" s="105">
        <f t="shared" si="250"/>
        <v>2643</v>
      </c>
      <c r="L1016" s="105">
        <f t="shared" si="250"/>
        <v>12</v>
      </c>
      <c r="M1016" s="105">
        <f t="shared" si="250"/>
        <v>8</v>
      </c>
      <c r="N1016" s="105">
        <f t="shared" si="250"/>
        <v>2</v>
      </c>
      <c r="O1016" s="105">
        <f t="shared" si="250"/>
        <v>2</v>
      </c>
      <c r="P1016" s="105">
        <f t="shared" si="250"/>
        <v>0</v>
      </c>
      <c r="Q1016" s="105">
        <f t="shared" si="250"/>
        <v>0</v>
      </c>
      <c r="R1016" s="105">
        <f t="shared" si="250"/>
        <v>1</v>
      </c>
      <c r="S1016" s="105">
        <f t="shared" si="250"/>
        <v>0</v>
      </c>
      <c r="T1016" s="106">
        <f t="shared" si="250"/>
        <v>595</v>
      </c>
      <c r="U1016" s="130"/>
      <c r="V1016" s="1"/>
      <c r="W1016" s="68">
        <f t="shared" ref="W1016:AD1016" si="251">SUBTOTAL(9,W971:W1015)</f>
        <v>232497000</v>
      </c>
      <c r="X1016" s="68">
        <f t="shared" si="251"/>
        <v>107950000</v>
      </c>
      <c r="Y1016" s="68">
        <f t="shared" si="251"/>
        <v>0</v>
      </c>
      <c r="Z1016" s="68">
        <f t="shared" si="251"/>
        <v>0</v>
      </c>
      <c r="AA1016" s="68">
        <f t="shared" si="251"/>
        <v>0</v>
      </c>
      <c r="AB1016" s="68">
        <f t="shared" si="251"/>
        <v>205000000</v>
      </c>
      <c r="AC1016" s="69">
        <f t="shared" si="251"/>
        <v>545447000</v>
      </c>
      <c r="AD1016" s="70">
        <f t="shared" si="251"/>
        <v>0</v>
      </c>
      <c r="AE1016" s="63"/>
      <c r="AF1016" s="72"/>
      <c r="AG1016" s="63"/>
      <c r="AH1016" s="23"/>
      <c r="AI1016" s="60"/>
      <c r="AJ1016" s="124"/>
      <c r="AK1016" s="121"/>
      <c r="AL1016" s="107"/>
      <c r="AM1016" s="108"/>
      <c r="AN1016" s="109"/>
      <c r="AO1016" s="108"/>
      <c r="AP1016" s="108"/>
      <c r="AQ1016" s="108"/>
      <c r="AR1016" s="108"/>
      <c r="AS1016" s="108"/>
      <c r="AT1016" s="108"/>
      <c r="AU1016" s="108"/>
      <c r="AV1016" s="108"/>
      <c r="AW1016" s="108"/>
      <c r="AX1016" s="108"/>
      <c r="AY1016" s="108"/>
      <c r="AZ1016" s="108"/>
      <c r="BA1016" s="108"/>
      <c r="BB1016" s="108"/>
      <c r="BC1016" s="108"/>
      <c r="BD1016" s="108"/>
      <c r="BE1016" s="108"/>
      <c r="BF1016" s="108"/>
      <c r="BG1016" s="108"/>
      <c r="BH1016" s="108"/>
      <c r="BI1016" s="108"/>
      <c r="BJ1016" s="108"/>
      <c r="BK1016" s="108"/>
      <c r="BL1016" s="108"/>
      <c r="BM1016" s="108"/>
      <c r="BN1016" s="108"/>
      <c r="BO1016" s="108"/>
      <c r="BP1016" s="108"/>
      <c r="BQ1016" s="108"/>
      <c r="BR1016" s="108"/>
      <c r="BS1016" s="108"/>
      <c r="BT1016" s="108"/>
      <c r="BU1016" s="108"/>
      <c r="BV1016" s="108"/>
      <c r="BW1016" s="108"/>
      <c r="BX1016" s="108"/>
      <c r="BY1016" s="108"/>
      <c r="BZ1016" s="108"/>
      <c r="CA1016" s="108"/>
      <c r="CB1016" s="108"/>
      <c r="CC1016" s="108"/>
      <c r="CD1016" s="108"/>
      <c r="CE1016" s="108"/>
      <c r="CF1016" s="108"/>
      <c r="CG1016" s="108"/>
      <c r="CH1016" s="108"/>
      <c r="CI1016" s="108"/>
      <c r="CJ1016" s="108"/>
      <c r="CK1016" s="108"/>
      <c r="CL1016" s="108"/>
      <c r="CM1016" s="108"/>
      <c r="CN1016" s="110"/>
      <c r="CO1016" s="111"/>
      <c r="CP1016" s="110"/>
      <c r="CQ1016" s="111"/>
      <c r="CR1016" s="110"/>
      <c r="CS1016" s="111"/>
      <c r="CT1016" s="112"/>
      <c r="CU1016" s="113"/>
      <c r="CV1016" s="114"/>
      <c r="CW1016" s="115"/>
      <c r="CX1016" s="116"/>
      <c r="CY1016" s="117"/>
      <c r="CZ1016" s="116"/>
      <c r="DA1016" s="113"/>
      <c r="DB1016" s="114"/>
      <c r="DC1016" s="64"/>
      <c r="DD1016" s="118"/>
    </row>
    <row r="1017" spans="1:108" s="119" customFormat="1" ht="24" outlineLevel="2">
      <c r="A1017" s="178">
        <v>40275</v>
      </c>
      <c r="B1017" s="82" t="s">
        <v>1144</v>
      </c>
      <c r="C1017" s="82" t="s">
        <v>1563</v>
      </c>
      <c r="D1017" s="165" t="s">
        <v>1262</v>
      </c>
      <c r="E1017" s="167"/>
      <c r="F1017" s="66"/>
      <c r="G1017" s="66"/>
      <c r="H1017" s="66">
        <f>56*5</f>
        <v>280</v>
      </c>
      <c r="I1017" s="66">
        <v>56</v>
      </c>
      <c r="J1017" s="66"/>
      <c r="K1017" s="66">
        <v>56</v>
      </c>
      <c r="L1017" s="66"/>
      <c r="M1017" s="66"/>
      <c r="N1017" s="66"/>
      <c r="O1017" s="66"/>
      <c r="P1017" s="66"/>
      <c r="Q1017" s="66"/>
      <c r="R1017" s="66"/>
      <c r="S1017" s="66"/>
      <c r="T1017" s="67"/>
      <c r="U1017" s="151"/>
      <c r="V1017" s="1"/>
      <c r="W1017" s="68">
        <f t="shared" ref="W1017:W1048" si="252">CT1017</f>
        <v>0</v>
      </c>
      <c r="X1017" s="68">
        <f t="shared" ref="X1017:X1048" si="253">CX1017</f>
        <v>0</v>
      </c>
      <c r="Y1017" s="68">
        <f t="shared" ref="Y1017:Y1048" si="254">CZ1017+DB1017</f>
        <v>0</v>
      </c>
      <c r="Z1017" s="68">
        <f t="shared" ref="Z1017:Z1048" si="255">CV1017</f>
        <v>0</v>
      </c>
      <c r="AA1017" s="68"/>
      <c r="AB1017" s="68">
        <v>0</v>
      </c>
      <c r="AC1017" s="69">
        <f t="shared" ref="AC1017:AC1048" si="256">W1017+X1017+Y1017+Z1017+AA1017+AB1017</f>
        <v>0</v>
      </c>
      <c r="AD1017" s="70">
        <v>0</v>
      </c>
      <c r="AE1017" s="63">
        <v>40276</v>
      </c>
      <c r="AF1017" s="72"/>
      <c r="AG1017" s="63" t="s">
        <v>938</v>
      </c>
      <c r="AH1017" s="23" t="s">
        <v>939</v>
      </c>
      <c r="AI1017" s="60"/>
      <c r="AJ1017" s="133" t="s">
        <v>1608</v>
      </c>
      <c r="AK1017" s="73" t="s">
        <v>1564</v>
      </c>
      <c r="AL1017" s="3"/>
      <c r="AM1017" s="4"/>
      <c r="AN1017" s="5"/>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6"/>
      <c r="CO1017" s="7"/>
      <c r="CP1017" s="6"/>
      <c r="CQ1017" s="7"/>
      <c r="CR1017" s="6"/>
      <c r="CS1017" s="7"/>
      <c r="CT1017" s="8">
        <f t="shared" ref="CT1017:CT1048" si="257">AM1017+AO1017+AQ1017+AS1017+AU1017+AW1017+AY1017+BA1017+BC1017+BE1017+BG1017+BI1017+BK1017+BM1017+BO1017+BQ1017+BS1017+BU1017+BW1017+BY1017+CA1017+CC1017+CE1017+CG1017+CI1017+CK1017+CM1017+CO1017+CQ1017+CS1017</f>
        <v>0</v>
      </c>
      <c r="CU1017" s="9"/>
      <c r="CV1017" s="10"/>
      <c r="CW1017" s="11"/>
      <c r="CX1017" s="12"/>
      <c r="CY1017" s="26"/>
      <c r="CZ1017" s="12"/>
      <c r="DA1017" s="9"/>
      <c r="DB1017" s="10"/>
      <c r="DC1017" s="64"/>
      <c r="DD1017" s="22"/>
    </row>
    <row r="1018" spans="1:108" s="119" customFormat="1" ht="36" outlineLevel="2">
      <c r="A1018" s="178">
        <v>40275</v>
      </c>
      <c r="B1018" s="82" t="s">
        <v>1144</v>
      </c>
      <c r="C1018" s="82" t="s">
        <v>1562</v>
      </c>
      <c r="D1018" s="165" t="s">
        <v>1182</v>
      </c>
      <c r="E1018" s="167"/>
      <c r="F1018" s="66"/>
      <c r="G1018" s="66"/>
      <c r="H1018" s="66">
        <f>44*5</f>
        <v>220</v>
      </c>
      <c r="I1018" s="66">
        <v>44</v>
      </c>
      <c r="J1018" s="66">
        <v>1</v>
      </c>
      <c r="K1018" s="66">
        <v>43</v>
      </c>
      <c r="L1018" s="66"/>
      <c r="M1018" s="66"/>
      <c r="N1018" s="66"/>
      <c r="O1018" s="66"/>
      <c r="P1018" s="66"/>
      <c r="Q1018" s="66"/>
      <c r="R1018" s="66"/>
      <c r="S1018" s="66"/>
      <c r="T1018" s="67"/>
      <c r="U1018" s="151"/>
      <c r="V1018" s="1"/>
      <c r="W1018" s="68">
        <f t="shared" si="252"/>
        <v>0</v>
      </c>
      <c r="X1018" s="68">
        <f t="shared" si="253"/>
        <v>0</v>
      </c>
      <c r="Y1018" s="68">
        <f t="shared" si="254"/>
        <v>0</v>
      </c>
      <c r="Z1018" s="68">
        <f t="shared" si="255"/>
        <v>0</v>
      </c>
      <c r="AA1018" s="68"/>
      <c r="AB1018" s="68">
        <v>0</v>
      </c>
      <c r="AC1018" s="69">
        <f t="shared" si="256"/>
        <v>0</v>
      </c>
      <c r="AD1018" s="70">
        <v>0</v>
      </c>
      <c r="AE1018" s="63">
        <v>40276</v>
      </c>
      <c r="AF1018" s="72"/>
      <c r="AG1018" s="63" t="s">
        <v>938</v>
      </c>
      <c r="AH1018" s="23" t="s">
        <v>939</v>
      </c>
      <c r="AI1018" s="60"/>
      <c r="AJ1018" s="133" t="s">
        <v>1608</v>
      </c>
      <c r="AK1018" s="73" t="s">
        <v>1079</v>
      </c>
      <c r="AL1018" s="3"/>
      <c r="AM1018" s="4"/>
      <c r="AN1018" s="5"/>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6"/>
      <c r="CO1018" s="7"/>
      <c r="CP1018" s="6"/>
      <c r="CQ1018" s="7"/>
      <c r="CR1018" s="6"/>
      <c r="CS1018" s="7"/>
      <c r="CT1018" s="8">
        <f t="shared" si="257"/>
        <v>0</v>
      </c>
      <c r="CU1018" s="9"/>
      <c r="CV1018" s="10"/>
      <c r="CW1018" s="11"/>
      <c r="CX1018" s="12"/>
      <c r="CY1018" s="26"/>
      <c r="CZ1018" s="12"/>
      <c r="DA1018" s="9"/>
      <c r="DB1018" s="10"/>
      <c r="DC1018" s="64"/>
      <c r="DD1018" s="22"/>
    </row>
    <row r="1019" spans="1:108" s="119" customFormat="1" ht="24" outlineLevel="2">
      <c r="A1019" s="178">
        <v>40277</v>
      </c>
      <c r="B1019" s="82" t="s">
        <v>1144</v>
      </c>
      <c r="C1019" s="82" t="s">
        <v>1563</v>
      </c>
      <c r="D1019" s="165" t="s">
        <v>1262</v>
      </c>
      <c r="E1019" s="167"/>
      <c r="F1019" s="66"/>
      <c r="G1019" s="66"/>
      <c r="H1019" s="66">
        <f>23*5</f>
        <v>115</v>
      </c>
      <c r="I1019" s="66">
        <v>23</v>
      </c>
      <c r="J1019" s="66"/>
      <c r="K1019" s="66">
        <v>23</v>
      </c>
      <c r="L1019" s="66"/>
      <c r="M1019" s="66"/>
      <c r="N1019" s="66"/>
      <c r="O1019" s="66"/>
      <c r="P1019" s="66"/>
      <c r="Q1019" s="66"/>
      <c r="R1019" s="66"/>
      <c r="S1019" s="66"/>
      <c r="T1019" s="67"/>
      <c r="U1019" s="151"/>
      <c r="V1019" s="1"/>
      <c r="W1019" s="68">
        <f t="shared" si="252"/>
        <v>0</v>
      </c>
      <c r="X1019" s="68">
        <f t="shared" si="253"/>
        <v>0</v>
      </c>
      <c r="Y1019" s="68">
        <f t="shared" si="254"/>
        <v>0</v>
      </c>
      <c r="Z1019" s="68">
        <f t="shared" si="255"/>
        <v>0</v>
      </c>
      <c r="AA1019" s="68"/>
      <c r="AB1019" s="68">
        <v>0</v>
      </c>
      <c r="AC1019" s="69">
        <f t="shared" si="256"/>
        <v>0</v>
      </c>
      <c r="AD1019" s="70">
        <v>0</v>
      </c>
      <c r="AE1019" s="63">
        <v>40278</v>
      </c>
      <c r="AF1019" s="72"/>
      <c r="AG1019" s="63" t="s">
        <v>938</v>
      </c>
      <c r="AH1019" s="23" t="s">
        <v>939</v>
      </c>
      <c r="AI1019" s="60"/>
      <c r="AJ1019" s="133" t="s">
        <v>1608</v>
      </c>
      <c r="AK1019" s="73" t="s">
        <v>528</v>
      </c>
      <c r="AL1019" s="3"/>
      <c r="AM1019" s="4"/>
      <c r="AN1019" s="5"/>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6"/>
      <c r="CO1019" s="7"/>
      <c r="CP1019" s="6"/>
      <c r="CQ1019" s="7"/>
      <c r="CR1019" s="6"/>
      <c r="CS1019" s="7"/>
      <c r="CT1019" s="8">
        <f t="shared" si="257"/>
        <v>0</v>
      </c>
      <c r="CU1019" s="9"/>
      <c r="CV1019" s="10"/>
      <c r="CW1019" s="11"/>
      <c r="CX1019" s="12"/>
      <c r="CY1019" s="26"/>
      <c r="CZ1019" s="12"/>
      <c r="DA1019" s="9"/>
      <c r="DB1019" s="10"/>
      <c r="DC1019" s="64"/>
      <c r="DD1019" s="22"/>
    </row>
    <row r="1020" spans="1:108" s="119" customFormat="1" ht="48" outlineLevel="2">
      <c r="A1020" s="178">
        <v>40282</v>
      </c>
      <c r="B1020" s="82" t="s">
        <v>1144</v>
      </c>
      <c r="C1020" s="82" t="s">
        <v>1145</v>
      </c>
      <c r="D1020" s="165" t="s">
        <v>1262</v>
      </c>
      <c r="E1020" s="167"/>
      <c r="F1020" s="66"/>
      <c r="G1020" s="66"/>
      <c r="H1020" s="66">
        <v>338</v>
      </c>
      <c r="I1020" s="66">
        <v>116</v>
      </c>
      <c r="J1020" s="66">
        <v>14</v>
      </c>
      <c r="K1020" s="66">
        <v>102</v>
      </c>
      <c r="L1020" s="66"/>
      <c r="M1020" s="66"/>
      <c r="N1020" s="66"/>
      <c r="O1020" s="66"/>
      <c r="P1020" s="66"/>
      <c r="Q1020" s="66"/>
      <c r="R1020" s="66"/>
      <c r="S1020" s="66"/>
      <c r="T1020" s="67"/>
      <c r="U1020" s="151" t="s">
        <v>417</v>
      </c>
      <c r="V1020" s="1"/>
      <c r="W1020" s="68">
        <f t="shared" si="252"/>
        <v>0</v>
      </c>
      <c r="X1020" s="68">
        <f t="shared" si="253"/>
        <v>0</v>
      </c>
      <c r="Y1020" s="68">
        <f t="shared" si="254"/>
        <v>0</v>
      </c>
      <c r="Z1020" s="68">
        <f t="shared" si="255"/>
        <v>0</v>
      </c>
      <c r="AA1020" s="68"/>
      <c r="AB1020" s="68">
        <v>0</v>
      </c>
      <c r="AC1020" s="69">
        <f t="shared" si="256"/>
        <v>0</v>
      </c>
      <c r="AD1020" s="70">
        <v>0</v>
      </c>
      <c r="AE1020" s="63">
        <v>40282</v>
      </c>
      <c r="AF1020" s="72"/>
      <c r="AG1020" s="63" t="s">
        <v>938</v>
      </c>
      <c r="AH1020" s="23" t="s">
        <v>939</v>
      </c>
      <c r="AI1020" s="60"/>
      <c r="AJ1020" s="133" t="s">
        <v>1608</v>
      </c>
      <c r="AK1020" s="73" t="s">
        <v>1261</v>
      </c>
      <c r="AL1020" s="3"/>
      <c r="AM1020" s="4"/>
      <c r="AN1020" s="5"/>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6"/>
      <c r="CO1020" s="7"/>
      <c r="CP1020" s="6"/>
      <c r="CQ1020" s="7"/>
      <c r="CR1020" s="6"/>
      <c r="CS1020" s="7"/>
      <c r="CT1020" s="8">
        <f t="shared" si="257"/>
        <v>0</v>
      </c>
      <c r="CU1020" s="9"/>
      <c r="CV1020" s="10"/>
      <c r="CW1020" s="11"/>
      <c r="CX1020" s="12"/>
      <c r="CY1020" s="26"/>
      <c r="CZ1020" s="12"/>
      <c r="DA1020" s="9"/>
      <c r="DB1020" s="10"/>
      <c r="DC1020" s="64"/>
      <c r="DD1020" s="22"/>
    </row>
    <row r="1021" spans="1:108" s="119" customFormat="1" outlineLevel="2">
      <c r="A1021" s="178">
        <v>40285</v>
      </c>
      <c r="B1021" s="82" t="s">
        <v>1144</v>
      </c>
      <c r="C1021" s="82" t="s">
        <v>1853</v>
      </c>
      <c r="D1021" s="165" t="s">
        <v>1182</v>
      </c>
      <c r="E1021" s="167"/>
      <c r="F1021" s="66"/>
      <c r="G1021" s="66"/>
      <c r="H1021" s="66">
        <v>35</v>
      </c>
      <c r="I1021" s="66">
        <v>7</v>
      </c>
      <c r="J1021" s="66"/>
      <c r="K1021" s="66">
        <v>7</v>
      </c>
      <c r="L1021" s="66"/>
      <c r="M1021" s="66"/>
      <c r="N1021" s="66"/>
      <c r="O1021" s="66"/>
      <c r="P1021" s="66"/>
      <c r="Q1021" s="66"/>
      <c r="R1021" s="66"/>
      <c r="S1021" s="66"/>
      <c r="T1021" s="67"/>
      <c r="U1021" s="151"/>
      <c r="V1021" s="1"/>
      <c r="W1021" s="68">
        <f t="shared" si="252"/>
        <v>0</v>
      </c>
      <c r="X1021" s="68">
        <f t="shared" si="253"/>
        <v>0</v>
      </c>
      <c r="Y1021" s="68">
        <f t="shared" si="254"/>
        <v>0</v>
      </c>
      <c r="Z1021" s="68">
        <f t="shared" si="255"/>
        <v>0</v>
      </c>
      <c r="AA1021" s="68"/>
      <c r="AB1021" s="68">
        <v>0</v>
      </c>
      <c r="AC1021" s="69">
        <f t="shared" si="256"/>
        <v>0</v>
      </c>
      <c r="AD1021" s="70">
        <v>0</v>
      </c>
      <c r="AE1021" s="63">
        <v>40287</v>
      </c>
      <c r="AF1021" s="72"/>
      <c r="AG1021" s="63" t="s">
        <v>938</v>
      </c>
      <c r="AH1021" s="23" t="s">
        <v>939</v>
      </c>
      <c r="AI1021" s="60"/>
      <c r="AJ1021" s="133" t="s">
        <v>1608</v>
      </c>
      <c r="AK1021" s="73"/>
      <c r="AL1021" s="3"/>
      <c r="AM1021" s="4"/>
      <c r="AN1021" s="5"/>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6"/>
      <c r="CO1021" s="7"/>
      <c r="CP1021" s="6"/>
      <c r="CQ1021" s="7"/>
      <c r="CR1021" s="6"/>
      <c r="CS1021" s="7"/>
      <c r="CT1021" s="8">
        <f t="shared" si="257"/>
        <v>0</v>
      </c>
      <c r="CU1021" s="9"/>
      <c r="CV1021" s="10"/>
      <c r="CW1021" s="11"/>
      <c r="CX1021" s="12"/>
      <c r="CY1021" s="26"/>
      <c r="CZ1021" s="12"/>
      <c r="DA1021" s="9"/>
      <c r="DB1021" s="10"/>
      <c r="DC1021" s="64"/>
      <c r="DD1021" s="22"/>
    </row>
    <row r="1022" spans="1:108" s="119" customFormat="1" ht="45" outlineLevel="2">
      <c r="A1022" s="178">
        <v>40289</v>
      </c>
      <c r="B1022" s="82" t="s">
        <v>1144</v>
      </c>
      <c r="C1022" s="82" t="s">
        <v>1145</v>
      </c>
      <c r="D1022" s="165" t="s">
        <v>435</v>
      </c>
      <c r="E1022" s="167"/>
      <c r="F1022" s="66"/>
      <c r="G1022" s="66"/>
      <c r="H1022" s="66">
        <f>40*5</f>
        <v>200</v>
      </c>
      <c r="I1022" s="66">
        <v>40</v>
      </c>
      <c r="J1022" s="66"/>
      <c r="K1022" s="66">
        <v>40</v>
      </c>
      <c r="L1022" s="66"/>
      <c r="M1022" s="66"/>
      <c r="N1022" s="66"/>
      <c r="O1022" s="66"/>
      <c r="P1022" s="66"/>
      <c r="Q1022" s="66"/>
      <c r="R1022" s="66"/>
      <c r="S1022" s="66"/>
      <c r="T1022" s="67"/>
      <c r="U1022" s="151"/>
      <c r="V1022" s="1">
        <v>40333</v>
      </c>
      <c r="W1022" s="68">
        <f t="shared" si="252"/>
        <v>1540000</v>
      </c>
      <c r="X1022" s="68">
        <f t="shared" si="253"/>
        <v>3400000</v>
      </c>
      <c r="Y1022" s="68">
        <f t="shared" si="254"/>
        <v>12337500</v>
      </c>
      <c r="Z1022" s="68">
        <f t="shared" si="255"/>
        <v>0</v>
      </c>
      <c r="AA1022" s="68"/>
      <c r="AB1022" s="68">
        <v>0</v>
      </c>
      <c r="AC1022" s="69">
        <f t="shared" si="256"/>
        <v>17277500</v>
      </c>
      <c r="AD1022" s="70">
        <v>0</v>
      </c>
      <c r="AE1022" s="63">
        <v>40311</v>
      </c>
      <c r="AF1022" s="72">
        <v>97492</v>
      </c>
      <c r="AG1022" s="63" t="s">
        <v>954</v>
      </c>
      <c r="AH1022" s="23" t="s">
        <v>955</v>
      </c>
      <c r="AI1022" s="60">
        <v>149</v>
      </c>
      <c r="AJ1022" s="133" t="s">
        <v>415</v>
      </c>
      <c r="AK1022" s="73" t="s">
        <v>2380</v>
      </c>
      <c r="AL1022" s="3"/>
      <c r="AM1022" s="4"/>
      <c r="AN1022" s="5"/>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6">
        <v>40</v>
      </c>
      <c r="CO1022" s="7">
        <f>40*38500</f>
        <v>1540000</v>
      </c>
      <c r="CP1022" s="6"/>
      <c r="CQ1022" s="7"/>
      <c r="CR1022" s="6"/>
      <c r="CS1022" s="7"/>
      <c r="CT1022" s="8">
        <f t="shared" si="257"/>
        <v>1540000</v>
      </c>
      <c r="CU1022" s="9"/>
      <c r="CV1022" s="10"/>
      <c r="CW1022" s="11">
        <v>40</v>
      </c>
      <c r="CX1022" s="12">
        <f>40*85000</f>
        <v>3400000</v>
      </c>
      <c r="CY1022" s="26"/>
      <c r="CZ1022" s="12"/>
      <c r="DA1022" s="9">
        <f>250+150+75</f>
        <v>475</v>
      </c>
      <c r="DB1022" s="10">
        <f>250*22000+150*30000+75*28500+1000*200</f>
        <v>12337500</v>
      </c>
      <c r="DC1022" s="64"/>
      <c r="DD1022" s="22" t="s">
        <v>1413</v>
      </c>
    </row>
    <row r="1023" spans="1:108" s="119" customFormat="1" ht="45" outlineLevel="2">
      <c r="A1023" s="178">
        <v>40293</v>
      </c>
      <c r="B1023" s="82" t="s">
        <v>1144</v>
      </c>
      <c r="C1023" s="82" t="s">
        <v>1145</v>
      </c>
      <c r="D1023" s="165" t="s">
        <v>1262</v>
      </c>
      <c r="E1023" s="167"/>
      <c r="F1023" s="66"/>
      <c r="G1023" s="66"/>
      <c r="H1023" s="66">
        <v>200</v>
      </c>
      <c r="I1023" s="66">
        <v>40</v>
      </c>
      <c r="J1023" s="66"/>
      <c r="K1023" s="66">
        <v>40</v>
      </c>
      <c r="L1023" s="66"/>
      <c r="M1023" s="66"/>
      <c r="N1023" s="66"/>
      <c r="O1023" s="66"/>
      <c r="P1023" s="66"/>
      <c r="Q1023" s="66"/>
      <c r="R1023" s="66"/>
      <c r="S1023" s="66"/>
      <c r="T1023" s="67"/>
      <c r="U1023" s="151"/>
      <c r="V1023" s="1">
        <v>40333</v>
      </c>
      <c r="W1023" s="68">
        <f t="shared" si="252"/>
        <v>1540000</v>
      </c>
      <c r="X1023" s="68">
        <f t="shared" si="253"/>
        <v>3400000</v>
      </c>
      <c r="Y1023" s="68">
        <f t="shared" si="254"/>
        <v>0</v>
      </c>
      <c r="Z1023" s="68">
        <f t="shared" si="255"/>
        <v>0</v>
      </c>
      <c r="AA1023" s="68"/>
      <c r="AB1023" s="68">
        <v>0</v>
      </c>
      <c r="AC1023" s="69">
        <f t="shared" si="256"/>
        <v>4940000</v>
      </c>
      <c r="AD1023" s="70">
        <v>0</v>
      </c>
      <c r="AE1023" s="63">
        <v>40311</v>
      </c>
      <c r="AF1023" s="72">
        <v>97492</v>
      </c>
      <c r="AG1023" s="63" t="s">
        <v>954</v>
      </c>
      <c r="AH1023" s="23" t="s">
        <v>955</v>
      </c>
      <c r="AI1023" s="60">
        <v>149</v>
      </c>
      <c r="AJ1023" s="133" t="s">
        <v>415</v>
      </c>
      <c r="AK1023" s="73" t="s">
        <v>848</v>
      </c>
      <c r="AL1023" s="3"/>
      <c r="AM1023" s="4"/>
      <c r="AN1023" s="5"/>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6">
        <v>40</v>
      </c>
      <c r="CO1023" s="7">
        <f>40*38500</f>
        <v>1540000</v>
      </c>
      <c r="CP1023" s="6"/>
      <c r="CQ1023" s="7"/>
      <c r="CR1023" s="6"/>
      <c r="CS1023" s="7"/>
      <c r="CT1023" s="8">
        <f t="shared" si="257"/>
        <v>1540000</v>
      </c>
      <c r="CU1023" s="9"/>
      <c r="CV1023" s="10"/>
      <c r="CW1023" s="11">
        <v>40</v>
      </c>
      <c r="CX1023" s="12">
        <f>40*85000</f>
        <v>3400000</v>
      </c>
      <c r="CY1023" s="26"/>
      <c r="CZ1023" s="12"/>
      <c r="DA1023" s="9"/>
      <c r="DB1023" s="10"/>
      <c r="DC1023" s="64"/>
      <c r="DD1023" s="22"/>
    </row>
    <row r="1024" spans="1:108" s="119" customFormat="1" ht="36" outlineLevel="2">
      <c r="A1024" s="178">
        <v>40301</v>
      </c>
      <c r="B1024" s="82" t="s">
        <v>1144</v>
      </c>
      <c r="C1024" s="82" t="s">
        <v>1145</v>
      </c>
      <c r="D1024" s="165" t="s">
        <v>1262</v>
      </c>
      <c r="E1024" s="167"/>
      <c r="F1024" s="66"/>
      <c r="G1024" s="66"/>
      <c r="H1024" s="66">
        <v>150</v>
      </c>
      <c r="I1024" s="66">
        <v>30</v>
      </c>
      <c r="J1024" s="66"/>
      <c r="K1024" s="66">
        <v>330</v>
      </c>
      <c r="L1024" s="66"/>
      <c r="M1024" s="66"/>
      <c r="N1024" s="66"/>
      <c r="O1024" s="66"/>
      <c r="P1024" s="66"/>
      <c r="Q1024" s="66"/>
      <c r="R1024" s="66"/>
      <c r="S1024" s="66"/>
      <c r="T1024" s="67"/>
      <c r="U1024" s="151"/>
      <c r="V1024" s="1"/>
      <c r="W1024" s="68">
        <f t="shared" si="252"/>
        <v>0</v>
      </c>
      <c r="X1024" s="68">
        <f t="shared" si="253"/>
        <v>0</v>
      </c>
      <c r="Y1024" s="68">
        <f t="shared" si="254"/>
        <v>0</v>
      </c>
      <c r="Z1024" s="68">
        <f t="shared" si="255"/>
        <v>0</v>
      </c>
      <c r="AA1024" s="68"/>
      <c r="AB1024" s="68">
        <v>0</v>
      </c>
      <c r="AC1024" s="69">
        <f t="shared" si="256"/>
        <v>0</v>
      </c>
      <c r="AD1024" s="70">
        <v>0</v>
      </c>
      <c r="AE1024" s="63">
        <v>40301</v>
      </c>
      <c r="AF1024" s="72"/>
      <c r="AG1024" s="63" t="s">
        <v>938</v>
      </c>
      <c r="AH1024" s="23" t="s">
        <v>939</v>
      </c>
      <c r="AI1024" s="60"/>
      <c r="AJ1024" s="133" t="s">
        <v>1608</v>
      </c>
      <c r="AK1024" s="73" t="s">
        <v>1708</v>
      </c>
      <c r="AL1024" s="3"/>
      <c r="AM1024" s="4"/>
      <c r="AN1024" s="5"/>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6"/>
      <c r="CO1024" s="7"/>
      <c r="CP1024" s="6"/>
      <c r="CQ1024" s="7"/>
      <c r="CR1024" s="6"/>
      <c r="CS1024" s="7"/>
      <c r="CT1024" s="8">
        <f t="shared" si="257"/>
        <v>0</v>
      </c>
      <c r="CU1024" s="9"/>
      <c r="CV1024" s="10"/>
      <c r="CW1024" s="11"/>
      <c r="CX1024" s="12"/>
      <c r="CY1024" s="26"/>
      <c r="CZ1024" s="12"/>
      <c r="DA1024" s="9"/>
      <c r="DB1024" s="10"/>
      <c r="DC1024" s="64"/>
      <c r="DD1024" s="22"/>
    </row>
    <row r="1025" spans="1:108" s="119" customFormat="1" ht="276" outlineLevel="2">
      <c r="A1025" s="178">
        <v>40302</v>
      </c>
      <c r="B1025" s="82" t="s">
        <v>1144</v>
      </c>
      <c r="C1025" s="82" t="s">
        <v>1145</v>
      </c>
      <c r="D1025" s="165" t="s">
        <v>1262</v>
      </c>
      <c r="E1025" s="167"/>
      <c r="F1025" s="66"/>
      <c r="G1025" s="66"/>
      <c r="H1025" s="66">
        <v>9270</v>
      </c>
      <c r="I1025" s="66">
        <v>1859</v>
      </c>
      <c r="J1025" s="66"/>
      <c r="K1025" s="66">
        <v>1360</v>
      </c>
      <c r="L1025" s="66"/>
      <c r="M1025" s="66"/>
      <c r="N1025" s="66"/>
      <c r="O1025" s="66"/>
      <c r="P1025" s="66"/>
      <c r="Q1025" s="66"/>
      <c r="R1025" s="66"/>
      <c r="S1025" s="66"/>
      <c r="T1025" s="67"/>
      <c r="U1025" s="151"/>
      <c r="V1025" s="1">
        <v>40366</v>
      </c>
      <c r="W1025" s="68">
        <f t="shared" si="252"/>
        <v>0</v>
      </c>
      <c r="X1025" s="68">
        <f t="shared" si="253"/>
        <v>158015000</v>
      </c>
      <c r="Y1025" s="68">
        <f t="shared" si="254"/>
        <v>0</v>
      </c>
      <c r="Z1025" s="68">
        <f t="shared" si="255"/>
        <v>0</v>
      </c>
      <c r="AA1025" s="68"/>
      <c r="AB1025" s="68">
        <v>0</v>
      </c>
      <c r="AC1025" s="69">
        <f t="shared" si="256"/>
        <v>158015000</v>
      </c>
      <c r="AD1025" s="70">
        <v>0</v>
      </c>
      <c r="AE1025" s="63">
        <v>40337</v>
      </c>
      <c r="AF1025" s="72">
        <v>98079</v>
      </c>
      <c r="AG1025" s="63" t="s">
        <v>954</v>
      </c>
      <c r="AH1025" s="23" t="s">
        <v>955</v>
      </c>
      <c r="AI1025" s="60">
        <v>193</v>
      </c>
      <c r="AJ1025" s="133" t="s">
        <v>1476</v>
      </c>
      <c r="AK1025" s="73" t="s">
        <v>1591</v>
      </c>
      <c r="AL1025" s="3"/>
      <c r="AM1025" s="4"/>
      <c r="AN1025" s="5"/>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6"/>
      <c r="CO1025" s="7"/>
      <c r="CP1025" s="6"/>
      <c r="CQ1025" s="7"/>
      <c r="CR1025" s="6"/>
      <c r="CS1025" s="7"/>
      <c r="CT1025" s="8">
        <f t="shared" si="257"/>
        <v>0</v>
      </c>
      <c r="CU1025" s="9"/>
      <c r="CV1025" s="10"/>
      <c r="CW1025" s="11">
        <v>1859</v>
      </c>
      <c r="CX1025" s="12">
        <f>1859*85000</f>
        <v>158015000</v>
      </c>
      <c r="CY1025" s="26"/>
      <c r="CZ1025" s="12"/>
      <c r="DA1025" s="9"/>
      <c r="DB1025" s="10"/>
      <c r="DC1025" s="64"/>
      <c r="DD1025" s="22"/>
    </row>
    <row r="1026" spans="1:108" s="119" customFormat="1" ht="24" outlineLevel="2">
      <c r="A1026" s="178">
        <v>40363</v>
      </c>
      <c r="B1026" s="82" t="s">
        <v>1144</v>
      </c>
      <c r="C1026" s="82" t="s">
        <v>1883</v>
      </c>
      <c r="D1026" s="165" t="s">
        <v>1262</v>
      </c>
      <c r="E1026" s="167"/>
      <c r="F1026" s="66"/>
      <c r="G1026" s="66"/>
      <c r="H1026" s="66">
        <v>1200</v>
      </c>
      <c r="I1026" s="66">
        <v>345</v>
      </c>
      <c r="J1026" s="66"/>
      <c r="K1026" s="66">
        <v>345</v>
      </c>
      <c r="L1026" s="66"/>
      <c r="M1026" s="66"/>
      <c r="N1026" s="66"/>
      <c r="O1026" s="66"/>
      <c r="P1026" s="66"/>
      <c r="Q1026" s="66"/>
      <c r="R1026" s="66"/>
      <c r="S1026" s="66"/>
      <c r="T1026" s="67">
        <v>506</v>
      </c>
      <c r="U1026" s="151"/>
      <c r="V1026" s="1"/>
      <c r="W1026" s="68">
        <f t="shared" si="252"/>
        <v>0</v>
      </c>
      <c r="X1026" s="68">
        <f t="shared" si="253"/>
        <v>0</v>
      </c>
      <c r="Y1026" s="68">
        <f t="shared" si="254"/>
        <v>0</v>
      </c>
      <c r="Z1026" s="68">
        <f t="shared" si="255"/>
        <v>0</v>
      </c>
      <c r="AA1026" s="68"/>
      <c r="AB1026" s="68">
        <v>0</v>
      </c>
      <c r="AC1026" s="69">
        <f t="shared" si="256"/>
        <v>0</v>
      </c>
      <c r="AD1026" s="70">
        <v>0</v>
      </c>
      <c r="AE1026" s="63">
        <v>40367</v>
      </c>
      <c r="AF1026" s="72"/>
      <c r="AG1026" s="63" t="s">
        <v>938</v>
      </c>
      <c r="AH1026" s="23" t="s">
        <v>939</v>
      </c>
      <c r="AI1026" s="60"/>
      <c r="AJ1026" s="133" t="s">
        <v>1608</v>
      </c>
      <c r="AK1026" s="73" t="s">
        <v>904</v>
      </c>
      <c r="AL1026" s="3"/>
      <c r="AM1026" s="4"/>
      <c r="AN1026" s="5"/>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6"/>
      <c r="CO1026" s="7"/>
      <c r="CP1026" s="6"/>
      <c r="CQ1026" s="7"/>
      <c r="CR1026" s="6"/>
      <c r="CS1026" s="7"/>
      <c r="CT1026" s="8">
        <f t="shared" si="257"/>
        <v>0</v>
      </c>
      <c r="CU1026" s="9"/>
      <c r="CV1026" s="10"/>
      <c r="CW1026" s="11"/>
      <c r="CX1026" s="12"/>
      <c r="CY1026" s="26"/>
      <c r="CZ1026" s="12"/>
      <c r="DA1026" s="9"/>
      <c r="DB1026" s="10"/>
      <c r="DC1026" s="64"/>
      <c r="DD1026" s="22"/>
    </row>
    <row r="1027" spans="1:108" s="119" customFormat="1" ht="24" outlineLevel="2">
      <c r="A1027" s="178">
        <v>40363</v>
      </c>
      <c r="B1027" s="82" t="s">
        <v>1144</v>
      </c>
      <c r="C1027" s="82" t="s">
        <v>1281</v>
      </c>
      <c r="D1027" s="165" t="s">
        <v>1262</v>
      </c>
      <c r="E1027" s="167"/>
      <c r="F1027" s="66"/>
      <c r="G1027" s="66"/>
      <c r="H1027" s="66">
        <v>250</v>
      </c>
      <c r="I1027" s="66">
        <v>50</v>
      </c>
      <c r="J1027" s="66">
        <v>8</v>
      </c>
      <c r="K1027" s="66">
        <v>42</v>
      </c>
      <c r="L1027" s="66"/>
      <c r="M1027" s="66"/>
      <c r="N1027" s="66"/>
      <c r="O1027" s="66"/>
      <c r="P1027" s="66"/>
      <c r="Q1027" s="66"/>
      <c r="R1027" s="66"/>
      <c r="S1027" s="66"/>
      <c r="T1027" s="67"/>
      <c r="U1027" s="151"/>
      <c r="V1027" s="1"/>
      <c r="W1027" s="68">
        <f t="shared" si="252"/>
        <v>0</v>
      </c>
      <c r="X1027" s="68">
        <f t="shared" si="253"/>
        <v>0</v>
      </c>
      <c r="Y1027" s="68">
        <f t="shared" si="254"/>
        <v>0</v>
      </c>
      <c r="Z1027" s="68">
        <f t="shared" si="255"/>
        <v>0</v>
      </c>
      <c r="AA1027" s="68"/>
      <c r="AB1027" s="68">
        <v>0</v>
      </c>
      <c r="AC1027" s="69">
        <f t="shared" si="256"/>
        <v>0</v>
      </c>
      <c r="AD1027" s="70">
        <v>0</v>
      </c>
      <c r="AE1027" s="63">
        <v>40377</v>
      </c>
      <c r="AF1027" s="72"/>
      <c r="AG1027" s="63" t="s">
        <v>938</v>
      </c>
      <c r="AH1027" s="23" t="s">
        <v>939</v>
      </c>
      <c r="AI1027" s="60"/>
      <c r="AJ1027" s="133" t="s">
        <v>1608</v>
      </c>
      <c r="AK1027" s="73" t="s">
        <v>1282</v>
      </c>
      <c r="AL1027" s="3"/>
      <c r="AM1027" s="4"/>
      <c r="AN1027" s="5"/>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6"/>
      <c r="CO1027" s="7"/>
      <c r="CP1027" s="6"/>
      <c r="CQ1027" s="7"/>
      <c r="CR1027" s="6"/>
      <c r="CS1027" s="7"/>
      <c r="CT1027" s="8">
        <f t="shared" si="257"/>
        <v>0</v>
      </c>
      <c r="CU1027" s="9"/>
      <c r="CV1027" s="10"/>
      <c r="CW1027" s="11"/>
      <c r="CX1027" s="12"/>
      <c r="CY1027" s="26"/>
      <c r="CZ1027" s="12"/>
      <c r="DA1027" s="9"/>
      <c r="DB1027" s="10"/>
      <c r="DC1027" s="64"/>
      <c r="DD1027" s="22"/>
    </row>
    <row r="1028" spans="1:108" s="119" customFormat="1" ht="108" outlineLevel="2">
      <c r="A1028" s="178">
        <v>40371</v>
      </c>
      <c r="B1028" s="82" t="s">
        <v>1144</v>
      </c>
      <c r="C1028" s="82" t="s">
        <v>1883</v>
      </c>
      <c r="D1028" s="165" t="s">
        <v>1262</v>
      </c>
      <c r="E1028" s="167"/>
      <c r="F1028" s="66"/>
      <c r="G1028" s="66"/>
      <c r="H1028" s="66">
        <v>9130</v>
      </c>
      <c r="I1028" s="66">
        <v>2001</v>
      </c>
      <c r="J1028" s="66">
        <v>3</v>
      </c>
      <c r="K1028" s="66">
        <v>1998</v>
      </c>
      <c r="L1028" s="66"/>
      <c r="M1028" s="66"/>
      <c r="N1028" s="66"/>
      <c r="O1028" s="66"/>
      <c r="P1028" s="66"/>
      <c r="Q1028" s="66"/>
      <c r="R1028" s="66"/>
      <c r="S1028" s="66"/>
      <c r="T1028" s="67"/>
      <c r="U1028" s="151"/>
      <c r="V1028" s="1"/>
      <c r="W1028" s="68">
        <f t="shared" si="252"/>
        <v>0</v>
      </c>
      <c r="X1028" s="68">
        <f t="shared" si="253"/>
        <v>0</v>
      </c>
      <c r="Y1028" s="68">
        <f t="shared" si="254"/>
        <v>0</v>
      </c>
      <c r="Z1028" s="68">
        <f t="shared" si="255"/>
        <v>0</v>
      </c>
      <c r="AA1028" s="68"/>
      <c r="AB1028" s="68">
        <v>0</v>
      </c>
      <c r="AC1028" s="69">
        <f t="shared" si="256"/>
        <v>0</v>
      </c>
      <c r="AD1028" s="70">
        <v>0</v>
      </c>
      <c r="AE1028" s="63">
        <v>40375</v>
      </c>
      <c r="AF1028" s="72"/>
      <c r="AG1028" s="63" t="s">
        <v>938</v>
      </c>
      <c r="AH1028" s="23" t="s">
        <v>939</v>
      </c>
      <c r="AI1028" s="60"/>
      <c r="AJ1028" s="133" t="s">
        <v>1608</v>
      </c>
      <c r="AK1028" s="73" t="s">
        <v>201</v>
      </c>
      <c r="AL1028" s="3"/>
      <c r="AM1028" s="4"/>
      <c r="AN1028" s="5"/>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6"/>
      <c r="CO1028" s="7"/>
      <c r="CP1028" s="6"/>
      <c r="CQ1028" s="7"/>
      <c r="CR1028" s="6"/>
      <c r="CS1028" s="7"/>
      <c r="CT1028" s="8">
        <f t="shared" si="257"/>
        <v>0</v>
      </c>
      <c r="CU1028" s="9"/>
      <c r="CV1028" s="10"/>
      <c r="CW1028" s="11"/>
      <c r="CX1028" s="12"/>
      <c r="CY1028" s="26"/>
      <c r="CZ1028" s="12"/>
      <c r="DA1028" s="9"/>
      <c r="DB1028" s="10"/>
      <c r="DC1028" s="64"/>
      <c r="DD1028" s="22"/>
    </row>
    <row r="1029" spans="1:108" s="119" customFormat="1" ht="60" outlineLevel="2">
      <c r="A1029" s="178">
        <v>40371</v>
      </c>
      <c r="B1029" s="82" t="s">
        <v>1144</v>
      </c>
      <c r="C1029" s="82" t="s">
        <v>791</v>
      </c>
      <c r="D1029" s="165" t="s">
        <v>1262</v>
      </c>
      <c r="E1029" s="167"/>
      <c r="F1029" s="66"/>
      <c r="G1029" s="66"/>
      <c r="H1029" s="66">
        <v>2720</v>
      </c>
      <c r="I1029" s="66">
        <v>544</v>
      </c>
      <c r="J1029" s="66"/>
      <c r="K1029" s="66">
        <v>544</v>
      </c>
      <c r="L1029" s="66"/>
      <c r="M1029" s="66"/>
      <c r="N1029" s="66"/>
      <c r="O1029" s="66"/>
      <c r="P1029" s="66"/>
      <c r="Q1029" s="66"/>
      <c r="R1029" s="66"/>
      <c r="S1029" s="66"/>
      <c r="T1029" s="67"/>
      <c r="U1029" s="151"/>
      <c r="V1029" s="1"/>
      <c r="W1029" s="68">
        <f t="shared" si="252"/>
        <v>0</v>
      </c>
      <c r="X1029" s="68">
        <f t="shared" si="253"/>
        <v>0</v>
      </c>
      <c r="Y1029" s="68">
        <f t="shared" si="254"/>
        <v>0</v>
      </c>
      <c r="Z1029" s="68">
        <f t="shared" si="255"/>
        <v>0</v>
      </c>
      <c r="AA1029" s="68"/>
      <c r="AB1029" s="68">
        <v>0</v>
      </c>
      <c r="AC1029" s="69">
        <f t="shared" si="256"/>
        <v>0</v>
      </c>
      <c r="AD1029" s="70">
        <v>0</v>
      </c>
      <c r="AE1029" s="63">
        <v>40343</v>
      </c>
      <c r="AF1029" s="72"/>
      <c r="AG1029" s="63" t="s">
        <v>938</v>
      </c>
      <c r="AH1029" s="23" t="s">
        <v>939</v>
      </c>
      <c r="AI1029" s="60"/>
      <c r="AJ1029" s="133" t="s">
        <v>1608</v>
      </c>
      <c r="AK1029" s="73" t="s">
        <v>792</v>
      </c>
      <c r="AL1029" s="3"/>
      <c r="AM1029" s="4"/>
      <c r="AN1029" s="5"/>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6"/>
      <c r="CO1029" s="7"/>
      <c r="CP1029" s="6"/>
      <c r="CQ1029" s="7"/>
      <c r="CR1029" s="6"/>
      <c r="CS1029" s="7"/>
      <c r="CT1029" s="8">
        <f t="shared" si="257"/>
        <v>0</v>
      </c>
      <c r="CU1029" s="9"/>
      <c r="CV1029" s="10"/>
      <c r="CW1029" s="11"/>
      <c r="CX1029" s="12"/>
      <c r="CY1029" s="26"/>
      <c r="CZ1029" s="12"/>
      <c r="DA1029" s="9"/>
      <c r="DB1029" s="10"/>
      <c r="DC1029" s="64"/>
      <c r="DD1029" s="22"/>
    </row>
    <row r="1030" spans="1:108" s="119" customFormat="1" ht="36" outlineLevel="2">
      <c r="A1030" s="178">
        <v>40478</v>
      </c>
      <c r="B1030" s="164" t="s">
        <v>1144</v>
      </c>
      <c r="C1030" s="164" t="s">
        <v>643</v>
      </c>
      <c r="D1030" s="166" t="s">
        <v>1262</v>
      </c>
      <c r="E1030" s="163"/>
      <c r="F1030" s="105"/>
      <c r="G1030" s="105"/>
      <c r="H1030" s="105"/>
      <c r="I1030" s="105"/>
      <c r="J1030" s="105"/>
      <c r="K1030" s="105"/>
      <c r="L1030" s="105">
        <v>1</v>
      </c>
      <c r="M1030" s="105"/>
      <c r="N1030" s="105"/>
      <c r="O1030" s="105"/>
      <c r="P1030" s="105"/>
      <c r="Q1030" s="105"/>
      <c r="R1030" s="105"/>
      <c r="S1030" s="105"/>
      <c r="T1030" s="106"/>
      <c r="U1030" s="130"/>
      <c r="V1030" s="1"/>
      <c r="W1030" s="68">
        <f t="shared" si="252"/>
        <v>0</v>
      </c>
      <c r="X1030" s="68">
        <f t="shared" si="253"/>
        <v>0</v>
      </c>
      <c r="Y1030" s="68">
        <f t="shared" si="254"/>
        <v>0</v>
      </c>
      <c r="Z1030" s="68">
        <f t="shared" si="255"/>
        <v>0</v>
      </c>
      <c r="AA1030" s="68"/>
      <c r="AB1030" s="68">
        <v>0</v>
      </c>
      <c r="AC1030" s="69">
        <f t="shared" si="256"/>
        <v>0</v>
      </c>
      <c r="AD1030" s="70">
        <v>0</v>
      </c>
      <c r="AE1030" s="63">
        <v>40483</v>
      </c>
      <c r="AF1030" s="72"/>
      <c r="AG1030" s="63" t="s">
        <v>938</v>
      </c>
      <c r="AH1030" s="23" t="s">
        <v>939</v>
      </c>
      <c r="AI1030" s="60"/>
      <c r="AJ1030" s="124" t="s">
        <v>1608</v>
      </c>
      <c r="AK1030" s="121" t="s">
        <v>644</v>
      </c>
      <c r="AL1030" s="107"/>
      <c r="AM1030" s="108"/>
      <c r="AN1030" s="109"/>
      <c r="AO1030" s="108"/>
      <c r="AP1030" s="108"/>
      <c r="AQ1030" s="108"/>
      <c r="AR1030" s="108"/>
      <c r="AS1030" s="108"/>
      <c r="AT1030" s="108"/>
      <c r="AU1030" s="108"/>
      <c r="AV1030" s="108"/>
      <c r="AW1030" s="108"/>
      <c r="AX1030" s="108"/>
      <c r="AY1030" s="108"/>
      <c r="AZ1030" s="108"/>
      <c r="BA1030" s="108"/>
      <c r="BB1030" s="108"/>
      <c r="BC1030" s="108"/>
      <c r="BD1030" s="108"/>
      <c r="BE1030" s="108"/>
      <c r="BF1030" s="108"/>
      <c r="BG1030" s="108"/>
      <c r="BH1030" s="108"/>
      <c r="BI1030" s="108"/>
      <c r="BJ1030" s="108"/>
      <c r="BK1030" s="108"/>
      <c r="BL1030" s="108"/>
      <c r="BM1030" s="108"/>
      <c r="BN1030" s="108"/>
      <c r="BO1030" s="108"/>
      <c r="BP1030" s="108"/>
      <c r="BQ1030" s="108"/>
      <c r="BR1030" s="108"/>
      <c r="BS1030" s="108"/>
      <c r="BT1030" s="108"/>
      <c r="BU1030" s="108"/>
      <c r="BV1030" s="108"/>
      <c r="BW1030" s="108"/>
      <c r="BX1030" s="108"/>
      <c r="BY1030" s="108"/>
      <c r="BZ1030" s="108"/>
      <c r="CA1030" s="108"/>
      <c r="CB1030" s="108"/>
      <c r="CC1030" s="108"/>
      <c r="CD1030" s="108"/>
      <c r="CE1030" s="108"/>
      <c r="CF1030" s="108"/>
      <c r="CG1030" s="108"/>
      <c r="CH1030" s="108"/>
      <c r="CI1030" s="108"/>
      <c r="CJ1030" s="108"/>
      <c r="CK1030" s="108"/>
      <c r="CL1030" s="108"/>
      <c r="CM1030" s="108"/>
      <c r="CN1030" s="110"/>
      <c r="CO1030" s="111"/>
      <c r="CP1030" s="110"/>
      <c r="CQ1030" s="111"/>
      <c r="CR1030" s="110"/>
      <c r="CS1030" s="111"/>
      <c r="CT1030" s="112">
        <f t="shared" si="257"/>
        <v>0</v>
      </c>
      <c r="CU1030" s="113"/>
      <c r="CV1030" s="114"/>
      <c r="CW1030" s="115"/>
      <c r="CX1030" s="116"/>
      <c r="CY1030" s="117"/>
      <c r="CZ1030" s="116"/>
      <c r="DA1030" s="113"/>
      <c r="DB1030" s="114"/>
      <c r="DC1030" s="64"/>
      <c r="DD1030" s="118"/>
    </row>
    <row r="1031" spans="1:108" s="119" customFormat="1" ht="48" outlineLevel="2">
      <c r="A1031" s="178">
        <v>40484</v>
      </c>
      <c r="B1031" s="164" t="s">
        <v>1144</v>
      </c>
      <c r="C1031" s="164" t="s">
        <v>366</v>
      </c>
      <c r="D1031" s="166" t="s">
        <v>1262</v>
      </c>
      <c r="E1031" s="163"/>
      <c r="F1031" s="105"/>
      <c r="G1031" s="105"/>
      <c r="H1031" s="105"/>
      <c r="I1031" s="105"/>
      <c r="J1031" s="105"/>
      <c r="K1031" s="105"/>
      <c r="L1031" s="105"/>
      <c r="M1031" s="105"/>
      <c r="N1031" s="105"/>
      <c r="O1031" s="105">
        <v>1</v>
      </c>
      <c r="P1031" s="105"/>
      <c r="Q1031" s="105"/>
      <c r="R1031" s="105"/>
      <c r="S1031" s="105"/>
      <c r="T1031" s="106"/>
      <c r="U1031" s="130"/>
      <c r="V1031" s="1"/>
      <c r="W1031" s="68">
        <f t="shared" si="252"/>
        <v>0</v>
      </c>
      <c r="X1031" s="68">
        <f t="shared" si="253"/>
        <v>0</v>
      </c>
      <c r="Y1031" s="68">
        <f t="shared" si="254"/>
        <v>0</v>
      </c>
      <c r="Z1031" s="68">
        <f t="shared" si="255"/>
        <v>0</v>
      </c>
      <c r="AA1031" s="68"/>
      <c r="AB1031" s="68">
        <v>0</v>
      </c>
      <c r="AC1031" s="69">
        <f t="shared" si="256"/>
        <v>0</v>
      </c>
      <c r="AD1031" s="70">
        <v>0</v>
      </c>
      <c r="AE1031" s="63">
        <v>40484</v>
      </c>
      <c r="AF1031" s="72"/>
      <c r="AG1031" s="63" t="s">
        <v>938</v>
      </c>
      <c r="AH1031" s="23" t="s">
        <v>939</v>
      </c>
      <c r="AI1031" s="83"/>
      <c r="AJ1031" s="124" t="s">
        <v>1608</v>
      </c>
      <c r="AK1031" s="121" t="s">
        <v>368</v>
      </c>
      <c r="AL1031" s="107"/>
      <c r="AM1031" s="108"/>
      <c r="AN1031" s="109"/>
      <c r="AO1031" s="108"/>
      <c r="AP1031" s="108"/>
      <c r="AQ1031" s="108"/>
      <c r="AR1031" s="108"/>
      <c r="AS1031" s="108"/>
      <c r="AT1031" s="108"/>
      <c r="AU1031" s="108"/>
      <c r="AV1031" s="108"/>
      <c r="AW1031" s="108"/>
      <c r="AX1031" s="108"/>
      <c r="AY1031" s="108"/>
      <c r="AZ1031" s="108"/>
      <c r="BA1031" s="108"/>
      <c r="BB1031" s="108"/>
      <c r="BC1031" s="108"/>
      <c r="BD1031" s="108"/>
      <c r="BE1031" s="108"/>
      <c r="BF1031" s="108"/>
      <c r="BG1031" s="108"/>
      <c r="BH1031" s="108"/>
      <c r="BI1031" s="108"/>
      <c r="BJ1031" s="108"/>
      <c r="BK1031" s="108"/>
      <c r="BL1031" s="108"/>
      <c r="BM1031" s="108"/>
      <c r="BN1031" s="108"/>
      <c r="BO1031" s="108"/>
      <c r="BP1031" s="108"/>
      <c r="BQ1031" s="108"/>
      <c r="BR1031" s="108"/>
      <c r="BS1031" s="108"/>
      <c r="BT1031" s="108"/>
      <c r="BU1031" s="108"/>
      <c r="BV1031" s="108"/>
      <c r="BW1031" s="108"/>
      <c r="BX1031" s="108"/>
      <c r="BY1031" s="108"/>
      <c r="BZ1031" s="108"/>
      <c r="CA1031" s="108"/>
      <c r="CB1031" s="108"/>
      <c r="CC1031" s="108"/>
      <c r="CD1031" s="108"/>
      <c r="CE1031" s="108"/>
      <c r="CF1031" s="108"/>
      <c r="CG1031" s="108"/>
      <c r="CH1031" s="108"/>
      <c r="CI1031" s="108"/>
      <c r="CJ1031" s="108"/>
      <c r="CK1031" s="108"/>
      <c r="CL1031" s="108"/>
      <c r="CM1031" s="108"/>
      <c r="CN1031" s="110"/>
      <c r="CO1031" s="111"/>
      <c r="CP1031" s="110"/>
      <c r="CQ1031" s="111"/>
      <c r="CR1031" s="110"/>
      <c r="CS1031" s="111"/>
      <c r="CT1031" s="112">
        <f t="shared" si="257"/>
        <v>0</v>
      </c>
      <c r="CU1031" s="113"/>
      <c r="CV1031" s="114"/>
      <c r="CW1031" s="115"/>
      <c r="CX1031" s="116"/>
      <c r="CY1031" s="117"/>
      <c r="CZ1031" s="116"/>
      <c r="DA1031" s="113"/>
      <c r="DB1031" s="114"/>
      <c r="DC1031" s="64"/>
      <c r="DD1031" s="118"/>
    </row>
    <row r="1032" spans="1:108" s="119" customFormat="1" ht="24" outlineLevel="2">
      <c r="A1032" s="178">
        <v>40486</v>
      </c>
      <c r="B1032" s="164" t="s">
        <v>1144</v>
      </c>
      <c r="C1032" s="164" t="s">
        <v>706</v>
      </c>
      <c r="D1032" s="166" t="s">
        <v>1182</v>
      </c>
      <c r="E1032" s="163"/>
      <c r="F1032" s="105"/>
      <c r="G1032" s="105"/>
      <c r="H1032" s="105"/>
      <c r="I1032" s="105"/>
      <c r="J1032" s="105"/>
      <c r="K1032" s="105"/>
      <c r="L1032" s="105">
        <v>1</v>
      </c>
      <c r="M1032" s="105"/>
      <c r="N1032" s="105"/>
      <c r="O1032" s="105"/>
      <c r="P1032" s="105"/>
      <c r="Q1032" s="105"/>
      <c r="R1032" s="105"/>
      <c r="S1032" s="105"/>
      <c r="T1032" s="106"/>
      <c r="U1032" s="130"/>
      <c r="V1032" s="1"/>
      <c r="W1032" s="68">
        <f t="shared" si="252"/>
        <v>0</v>
      </c>
      <c r="X1032" s="68">
        <f t="shared" si="253"/>
        <v>0</v>
      </c>
      <c r="Y1032" s="68">
        <f t="shared" si="254"/>
        <v>0</v>
      </c>
      <c r="Z1032" s="68">
        <f t="shared" si="255"/>
        <v>0</v>
      </c>
      <c r="AA1032" s="68"/>
      <c r="AB1032" s="68">
        <v>0</v>
      </c>
      <c r="AC1032" s="69">
        <f t="shared" si="256"/>
        <v>0</v>
      </c>
      <c r="AD1032" s="70">
        <v>0</v>
      </c>
      <c r="AE1032" s="63"/>
      <c r="AF1032" s="72"/>
      <c r="AG1032" s="63"/>
      <c r="AH1032" s="23"/>
      <c r="AI1032" s="60"/>
      <c r="AJ1032" s="124"/>
      <c r="AK1032" s="121" t="s">
        <v>173</v>
      </c>
      <c r="AL1032" s="107"/>
      <c r="AM1032" s="108"/>
      <c r="AN1032" s="109"/>
      <c r="AO1032" s="108"/>
      <c r="AP1032" s="108"/>
      <c r="AQ1032" s="108"/>
      <c r="AR1032" s="108"/>
      <c r="AS1032" s="108"/>
      <c r="AT1032" s="108"/>
      <c r="AU1032" s="108"/>
      <c r="AV1032" s="108"/>
      <c r="AW1032" s="108"/>
      <c r="AX1032" s="108"/>
      <c r="AY1032" s="108"/>
      <c r="AZ1032" s="108"/>
      <c r="BA1032" s="108"/>
      <c r="BB1032" s="108"/>
      <c r="BC1032" s="108"/>
      <c r="BD1032" s="108"/>
      <c r="BE1032" s="108"/>
      <c r="BF1032" s="108"/>
      <c r="BG1032" s="108"/>
      <c r="BH1032" s="108"/>
      <c r="BI1032" s="108"/>
      <c r="BJ1032" s="108"/>
      <c r="BK1032" s="108"/>
      <c r="BL1032" s="108"/>
      <c r="BM1032" s="108"/>
      <c r="BN1032" s="108"/>
      <c r="BO1032" s="108"/>
      <c r="BP1032" s="108"/>
      <c r="BQ1032" s="108"/>
      <c r="BR1032" s="108"/>
      <c r="BS1032" s="108"/>
      <c r="BT1032" s="108"/>
      <c r="BU1032" s="108"/>
      <c r="BV1032" s="108"/>
      <c r="BW1032" s="108"/>
      <c r="BX1032" s="108"/>
      <c r="BY1032" s="108"/>
      <c r="BZ1032" s="108"/>
      <c r="CA1032" s="108"/>
      <c r="CB1032" s="108"/>
      <c r="CC1032" s="108"/>
      <c r="CD1032" s="108"/>
      <c r="CE1032" s="108"/>
      <c r="CF1032" s="108"/>
      <c r="CG1032" s="108"/>
      <c r="CH1032" s="108"/>
      <c r="CI1032" s="108"/>
      <c r="CJ1032" s="108"/>
      <c r="CK1032" s="108"/>
      <c r="CL1032" s="108"/>
      <c r="CM1032" s="108"/>
      <c r="CN1032" s="110"/>
      <c r="CO1032" s="111"/>
      <c r="CP1032" s="110"/>
      <c r="CQ1032" s="111"/>
      <c r="CR1032" s="110"/>
      <c r="CS1032" s="111"/>
      <c r="CT1032" s="112">
        <f t="shared" si="257"/>
        <v>0</v>
      </c>
      <c r="CU1032" s="113"/>
      <c r="CV1032" s="114"/>
      <c r="CW1032" s="115"/>
      <c r="CX1032" s="116"/>
      <c r="CY1032" s="117"/>
      <c r="CZ1032" s="116"/>
      <c r="DA1032" s="113"/>
      <c r="DB1032" s="114"/>
      <c r="DC1032" s="64"/>
      <c r="DD1032" s="118"/>
    </row>
    <row r="1033" spans="1:108" s="119" customFormat="1" ht="36" outlineLevel="2">
      <c r="A1033" s="178">
        <v>40492</v>
      </c>
      <c r="B1033" s="164" t="s">
        <v>1144</v>
      </c>
      <c r="C1033" s="164" t="s">
        <v>1853</v>
      </c>
      <c r="D1033" s="165" t="s">
        <v>1182</v>
      </c>
      <c r="E1033" s="163"/>
      <c r="F1033" s="105"/>
      <c r="G1033" s="105"/>
      <c r="H1033" s="105">
        <v>44</v>
      </c>
      <c r="I1033" s="105">
        <v>11</v>
      </c>
      <c r="J1033" s="105"/>
      <c r="K1033" s="105">
        <v>11</v>
      </c>
      <c r="L1033" s="105">
        <v>1</v>
      </c>
      <c r="M1033" s="105"/>
      <c r="N1033" s="105"/>
      <c r="O1033" s="105"/>
      <c r="P1033" s="105"/>
      <c r="Q1033" s="105"/>
      <c r="R1033" s="105"/>
      <c r="S1033" s="105"/>
      <c r="T1033" s="106"/>
      <c r="U1033" s="130"/>
      <c r="V1033" s="1"/>
      <c r="W1033" s="68">
        <f t="shared" si="252"/>
        <v>0</v>
      </c>
      <c r="X1033" s="68">
        <f t="shared" si="253"/>
        <v>0</v>
      </c>
      <c r="Y1033" s="68">
        <f t="shared" si="254"/>
        <v>0</v>
      </c>
      <c r="Z1033" s="68">
        <f t="shared" si="255"/>
        <v>0</v>
      </c>
      <c r="AA1033" s="68"/>
      <c r="AB1033" s="68">
        <v>0</v>
      </c>
      <c r="AC1033" s="69">
        <f t="shared" si="256"/>
        <v>0</v>
      </c>
      <c r="AD1033" s="70">
        <v>0</v>
      </c>
      <c r="AE1033" s="63">
        <v>40492</v>
      </c>
      <c r="AF1033" s="72"/>
      <c r="AG1033" s="63" t="s">
        <v>938</v>
      </c>
      <c r="AH1033" s="23" t="s">
        <v>939</v>
      </c>
      <c r="AI1033" s="60"/>
      <c r="AJ1033" s="124" t="s">
        <v>1608</v>
      </c>
      <c r="AK1033" s="121" t="s">
        <v>174</v>
      </c>
      <c r="AL1033" s="107"/>
      <c r="AM1033" s="108"/>
      <c r="AN1033" s="109"/>
      <c r="AO1033" s="108"/>
      <c r="AP1033" s="108"/>
      <c r="AQ1033" s="108"/>
      <c r="AR1033" s="108"/>
      <c r="AS1033" s="108"/>
      <c r="AT1033" s="108"/>
      <c r="AU1033" s="108"/>
      <c r="AV1033" s="108"/>
      <c r="AW1033" s="108"/>
      <c r="AX1033" s="108"/>
      <c r="AY1033" s="108"/>
      <c r="AZ1033" s="108"/>
      <c r="BA1033" s="108"/>
      <c r="BB1033" s="108"/>
      <c r="BC1033" s="108"/>
      <c r="BD1033" s="108"/>
      <c r="BE1033" s="108"/>
      <c r="BF1033" s="108"/>
      <c r="BG1033" s="108"/>
      <c r="BH1033" s="108"/>
      <c r="BI1033" s="108"/>
      <c r="BJ1033" s="108"/>
      <c r="BK1033" s="108"/>
      <c r="BL1033" s="108"/>
      <c r="BM1033" s="108"/>
      <c r="BN1033" s="108"/>
      <c r="BO1033" s="108"/>
      <c r="BP1033" s="108"/>
      <c r="BQ1033" s="108"/>
      <c r="BR1033" s="108"/>
      <c r="BS1033" s="108"/>
      <c r="BT1033" s="108"/>
      <c r="BU1033" s="108"/>
      <c r="BV1033" s="108"/>
      <c r="BW1033" s="108"/>
      <c r="BX1033" s="108"/>
      <c r="BY1033" s="108"/>
      <c r="BZ1033" s="108"/>
      <c r="CA1033" s="108"/>
      <c r="CB1033" s="108"/>
      <c r="CC1033" s="108"/>
      <c r="CD1033" s="108"/>
      <c r="CE1033" s="108"/>
      <c r="CF1033" s="108"/>
      <c r="CG1033" s="108"/>
      <c r="CH1033" s="108"/>
      <c r="CI1033" s="108"/>
      <c r="CJ1033" s="108"/>
      <c r="CK1033" s="108"/>
      <c r="CL1033" s="108"/>
      <c r="CM1033" s="108"/>
      <c r="CN1033" s="110"/>
      <c r="CO1033" s="111"/>
      <c r="CP1033" s="110"/>
      <c r="CQ1033" s="111"/>
      <c r="CR1033" s="110"/>
      <c r="CS1033" s="111"/>
      <c r="CT1033" s="112">
        <f t="shared" si="257"/>
        <v>0</v>
      </c>
      <c r="CU1033" s="113"/>
      <c r="CV1033" s="114"/>
      <c r="CW1033" s="115"/>
      <c r="CX1033" s="116"/>
      <c r="CY1033" s="117"/>
      <c r="CZ1033" s="116"/>
      <c r="DA1033" s="113"/>
      <c r="DB1033" s="114"/>
      <c r="DC1033" s="64"/>
      <c r="DD1033" s="118"/>
    </row>
    <row r="1034" spans="1:108" s="119" customFormat="1" ht="24" outlineLevel="2">
      <c r="A1034" s="178">
        <v>40493</v>
      </c>
      <c r="B1034" s="164" t="s">
        <v>1144</v>
      </c>
      <c r="C1034" s="164" t="s">
        <v>340</v>
      </c>
      <c r="D1034" s="166" t="s">
        <v>1182</v>
      </c>
      <c r="E1034" s="163"/>
      <c r="F1034" s="105"/>
      <c r="G1034" s="105"/>
      <c r="H1034" s="105">
        <v>193</v>
      </c>
      <c r="I1034" s="105">
        <v>46</v>
      </c>
      <c r="J1034" s="105">
        <v>2</v>
      </c>
      <c r="K1034" s="105">
        <v>44</v>
      </c>
      <c r="L1034" s="105">
        <v>2</v>
      </c>
      <c r="M1034" s="105"/>
      <c r="N1034" s="105"/>
      <c r="O1034" s="105"/>
      <c r="P1034" s="105"/>
      <c r="Q1034" s="105"/>
      <c r="R1034" s="105"/>
      <c r="S1034" s="105"/>
      <c r="T1034" s="106"/>
      <c r="U1034" s="130"/>
      <c r="V1034" s="1"/>
      <c r="W1034" s="68">
        <f t="shared" si="252"/>
        <v>0</v>
      </c>
      <c r="X1034" s="68">
        <f t="shared" si="253"/>
        <v>0</v>
      </c>
      <c r="Y1034" s="68">
        <f t="shared" si="254"/>
        <v>0</v>
      </c>
      <c r="Z1034" s="68">
        <f t="shared" si="255"/>
        <v>0</v>
      </c>
      <c r="AA1034" s="68"/>
      <c r="AB1034" s="68">
        <v>0</v>
      </c>
      <c r="AC1034" s="69">
        <f t="shared" si="256"/>
        <v>0</v>
      </c>
      <c r="AD1034" s="70">
        <v>0</v>
      </c>
      <c r="AE1034" s="63">
        <v>40508</v>
      </c>
      <c r="AF1034" s="72"/>
      <c r="AG1034" s="63" t="s">
        <v>938</v>
      </c>
      <c r="AH1034" s="23" t="s">
        <v>939</v>
      </c>
      <c r="AI1034" s="60"/>
      <c r="AJ1034" s="124" t="s">
        <v>1608</v>
      </c>
      <c r="AK1034" s="121" t="s">
        <v>341</v>
      </c>
      <c r="AL1034" s="107"/>
      <c r="AM1034" s="108"/>
      <c r="AN1034" s="109"/>
      <c r="AO1034" s="108"/>
      <c r="AP1034" s="108"/>
      <c r="AQ1034" s="108"/>
      <c r="AR1034" s="108"/>
      <c r="AS1034" s="108"/>
      <c r="AT1034" s="108"/>
      <c r="AU1034" s="108"/>
      <c r="AV1034" s="108"/>
      <c r="AW1034" s="108"/>
      <c r="AX1034" s="108"/>
      <c r="AY1034" s="108"/>
      <c r="AZ1034" s="108"/>
      <c r="BA1034" s="108"/>
      <c r="BB1034" s="108"/>
      <c r="BC1034" s="108"/>
      <c r="BD1034" s="108"/>
      <c r="BE1034" s="108"/>
      <c r="BF1034" s="108"/>
      <c r="BG1034" s="108"/>
      <c r="BH1034" s="108"/>
      <c r="BI1034" s="108"/>
      <c r="BJ1034" s="108"/>
      <c r="BK1034" s="108"/>
      <c r="BL1034" s="108"/>
      <c r="BM1034" s="108"/>
      <c r="BN1034" s="108"/>
      <c r="BO1034" s="108"/>
      <c r="BP1034" s="108"/>
      <c r="BQ1034" s="108"/>
      <c r="BR1034" s="108"/>
      <c r="BS1034" s="108"/>
      <c r="BT1034" s="108"/>
      <c r="BU1034" s="108"/>
      <c r="BV1034" s="108"/>
      <c r="BW1034" s="108"/>
      <c r="BX1034" s="108"/>
      <c r="BY1034" s="108"/>
      <c r="BZ1034" s="108"/>
      <c r="CA1034" s="108"/>
      <c r="CB1034" s="108"/>
      <c r="CC1034" s="108"/>
      <c r="CD1034" s="108"/>
      <c r="CE1034" s="108"/>
      <c r="CF1034" s="108"/>
      <c r="CG1034" s="108"/>
      <c r="CH1034" s="108"/>
      <c r="CI1034" s="108"/>
      <c r="CJ1034" s="108"/>
      <c r="CK1034" s="108"/>
      <c r="CL1034" s="108"/>
      <c r="CM1034" s="108"/>
      <c r="CN1034" s="110"/>
      <c r="CO1034" s="111"/>
      <c r="CP1034" s="110"/>
      <c r="CQ1034" s="111"/>
      <c r="CR1034" s="110"/>
      <c r="CS1034" s="111"/>
      <c r="CT1034" s="112">
        <f t="shared" si="257"/>
        <v>0</v>
      </c>
      <c r="CU1034" s="113"/>
      <c r="CV1034" s="114"/>
      <c r="CW1034" s="115"/>
      <c r="CX1034" s="116"/>
      <c r="CY1034" s="117"/>
      <c r="CZ1034" s="116"/>
      <c r="DA1034" s="113"/>
      <c r="DB1034" s="114"/>
      <c r="DC1034" s="64"/>
      <c r="DD1034" s="118"/>
    </row>
    <row r="1035" spans="1:108" s="119" customFormat="1" ht="36" outlineLevel="2">
      <c r="A1035" s="178">
        <v>40494</v>
      </c>
      <c r="B1035" s="164" t="s">
        <v>1144</v>
      </c>
      <c r="C1035" s="164" t="s">
        <v>1883</v>
      </c>
      <c r="D1035" s="166" t="s">
        <v>1262</v>
      </c>
      <c r="E1035" s="163"/>
      <c r="F1035" s="105"/>
      <c r="G1035" s="105"/>
      <c r="H1035" s="105"/>
      <c r="I1035" s="105"/>
      <c r="J1035" s="105"/>
      <c r="K1035" s="105"/>
      <c r="L1035" s="105"/>
      <c r="M1035" s="105"/>
      <c r="N1035" s="105"/>
      <c r="O1035" s="105"/>
      <c r="P1035" s="105"/>
      <c r="Q1035" s="105"/>
      <c r="R1035" s="105"/>
      <c r="S1035" s="105"/>
      <c r="T1035" s="106"/>
      <c r="U1035" s="130"/>
      <c r="V1035" s="1"/>
      <c r="W1035" s="68">
        <f t="shared" si="252"/>
        <v>0</v>
      </c>
      <c r="X1035" s="68">
        <f t="shared" si="253"/>
        <v>0</v>
      </c>
      <c r="Y1035" s="68">
        <f t="shared" si="254"/>
        <v>0</v>
      </c>
      <c r="Z1035" s="68">
        <f t="shared" si="255"/>
        <v>0</v>
      </c>
      <c r="AA1035" s="68"/>
      <c r="AB1035" s="68">
        <v>0</v>
      </c>
      <c r="AC1035" s="69">
        <f t="shared" si="256"/>
        <v>0</v>
      </c>
      <c r="AD1035" s="70">
        <v>0</v>
      </c>
      <c r="AE1035" s="63">
        <v>40497</v>
      </c>
      <c r="AF1035" s="72"/>
      <c r="AG1035" s="63" t="s">
        <v>938</v>
      </c>
      <c r="AH1035" s="23" t="s">
        <v>939</v>
      </c>
      <c r="AI1035" s="60"/>
      <c r="AJ1035" s="124" t="s">
        <v>1608</v>
      </c>
      <c r="AK1035" s="121" t="s">
        <v>9</v>
      </c>
      <c r="AL1035" s="107"/>
      <c r="AM1035" s="108"/>
      <c r="AN1035" s="109"/>
      <c r="AO1035" s="108"/>
      <c r="AP1035" s="108"/>
      <c r="AQ1035" s="108"/>
      <c r="AR1035" s="108"/>
      <c r="AS1035" s="108"/>
      <c r="AT1035" s="108"/>
      <c r="AU1035" s="108"/>
      <c r="AV1035" s="108"/>
      <c r="AW1035" s="108"/>
      <c r="AX1035" s="108"/>
      <c r="AY1035" s="108"/>
      <c r="AZ1035" s="108"/>
      <c r="BA1035" s="108"/>
      <c r="BB1035" s="108"/>
      <c r="BC1035" s="108"/>
      <c r="BD1035" s="108"/>
      <c r="BE1035" s="108"/>
      <c r="BF1035" s="108"/>
      <c r="BG1035" s="108"/>
      <c r="BH1035" s="108"/>
      <c r="BI1035" s="108"/>
      <c r="BJ1035" s="108"/>
      <c r="BK1035" s="108"/>
      <c r="BL1035" s="108"/>
      <c r="BM1035" s="108"/>
      <c r="BN1035" s="108"/>
      <c r="BO1035" s="108"/>
      <c r="BP1035" s="108"/>
      <c r="BQ1035" s="108"/>
      <c r="BR1035" s="108"/>
      <c r="BS1035" s="108"/>
      <c r="BT1035" s="108"/>
      <c r="BU1035" s="108"/>
      <c r="BV1035" s="108"/>
      <c r="BW1035" s="108"/>
      <c r="BX1035" s="108"/>
      <c r="BY1035" s="108"/>
      <c r="BZ1035" s="108"/>
      <c r="CA1035" s="108"/>
      <c r="CB1035" s="108"/>
      <c r="CC1035" s="108"/>
      <c r="CD1035" s="108"/>
      <c r="CE1035" s="108"/>
      <c r="CF1035" s="108"/>
      <c r="CG1035" s="108"/>
      <c r="CH1035" s="108"/>
      <c r="CI1035" s="108"/>
      <c r="CJ1035" s="108"/>
      <c r="CK1035" s="108"/>
      <c r="CL1035" s="108"/>
      <c r="CM1035" s="108"/>
      <c r="CN1035" s="110"/>
      <c r="CO1035" s="111"/>
      <c r="CP1035" s="110"/>
      <c r="CQ1035" s="111"/>
      <c r="CR1035" s="110"/>
      <c r="CS1035" s="111"/>
      <c r="CT1035" s="112">
        <f t="shared" si="257"/>
        <v>0</v>
      </c>
      <c r="CU1035" s="113"/>
      <c r="CV1035" s="114"/>
      <c r="CW1035" s="115"/>
      <c r="CX1035" s="116"/>
      <c r="CY1035" s="117"/>
      <c r="CZ1035" s="116"/>
      <c r="DA1035" s="113"/>
      <c r="DB1035" s="114"/>
      <c r="DC1035" s="64"/>
      <c r="DD1035" s="118"/>
    </row>
    <row r="1036" spans="1:108" s="119" customFormat="1" ht="24" outlineLevel="2">
      <c r="A1036" s="178">
        <v>40495</v>
      </c>
      <c r="B1036" s="164" t="s">
        <v>1144</v>
      </c>
      <c r="C1036" s="164" t="s">
        <v>343</v>
      </c>
      <c r="D1036" s="166" t="s">
        <v>1182</v>
      </c>
      <c r="E1036" s="163"/>
      <c r="F1036" s="105"/>
      <c r="G1036" s="105"/>
      <c r="H1036" s="105"/>
      <c r="I1036" s="105"/>
      <c r="J1036" s="105"/>
      <c r="K1036" s="105"/>
      <c r="L1036" s="105">
        <v>1</v>
      </c>
      <c r="M1036" s="105"/>
      <c r="N1036" s="105"/>
      <c r="O1036" s="105"/>
      <c r="P1036" s="105"/>
      <c r="Q1036" s="105"/>
      <c r="R1036" s="105"/>
      <c r="S1036" s="105"/>
      <c r="T1036" s="106"/>
      <c r="U1036" s="130"/>
      <c r="V1036" s="1"/>
      <c r="W1036" s="68">
        <f t="shared" si="252"/>
        <v>0</v>
      </c>
      <c r="X1036" s="68">
        <f t="shared" si="253"/>
        <v>0</v>
      </c>
      <c r="Y1036" s="68">
        <f t="shared" si="254"/>
        <v>0</v>
      </c>
      <c r="Z1036" s="68">
        <f t="shared" si="255"/>
        <v>0</v>
      </c>
      <c r="AA1036" s="68"/>
      <c r="AB1036" s="68">
        <v>0</v>
      </c>
      <c r="AC1036" s="69">
        <f t="shared" si="256"/>
        <v>0</v>
      </c>
      <c r="AD1036" s="70">
        <v>0</v>
      </c>
      <c r="AE1036" s="63">
        <v>40508</v>
      </c>
      <c r="AF1036" s="72"/>
      <c r="AG1036" s="63" t="s">
        <v>938</v>
      </c>
      <c r="AH1036" s="23" t="s">
        <v>939</v>
      </c>
      <c r="AI1036" s="60"/>
      <c r="AJ1036" s="124" t="s">
        <v>1608</v>
      </c>
      <c r="AK1036" s="121" t="s">
        <v>344</v>
      </c>
      <c r="AL1036" s="107"/>
      <c r="AM1036" s="108"/>
      <c r="AN1036" s="109"/>
      <c r="AO1036" s="108"/>
      <c r="AP1036" s="108"/>
      <c r="AQ1036" s="108"/>
      <c r="AR1036" s="108"/>
      <c r="AS1036" s="108"/>
      <c r="AT1036" s="108"/>
      <c r="AU1036" s="108"/>
      <c r="AV1036" s="108"/>
      <c r="AW1036" s="108"/>
      <c r="AX1036" s="108"/>
      <c r="AY1036" s="108"/>
      <c r="AZ1036" s="108"/>
      <c r="BA1036" s="108"/>
      <c r="BB1036" s="108"/>
      <c r="BC1036" s="108"/>
      <c r="BD1036" s="108"/>
      <c r="BE1036" s="108"/>
      <c r="BF1036" s="108"/>
      <c r="BG1036" s="108"/>
      <c r="BH1036" s="108"/>
      <c r="BI1036" s="108"/>
      <c r="BJ1036" s="108"/>
      <c r="BK1036" s="108"/>
      <c r="BL1036" s="108"/>
      <c r="BM1036" s="108"/>
      <c r="BN1036" s="108"/>
      <c r="BO1036" s="108"/>
      <c r="BP1036" s="108"/>
      <c r="BQ1036" s="108"/>
      <c r="BR1036" s="108"/>
      <c r="BS1036" s="108"/>
      <c r="BT1036" s="108"/>
      <c r="BU1036" s="108"/>
      <c r="BV1036" s="108"/>
      <c r="BW1036" s="108"/>
      <c r="BX1036" s="108"/>
      <c r="BY1036" s="108"/>
      <c r="BZ1036" s="108"/>
      <c r="CA1036" s="108"/>
      <c r="CB1036" s="108"/>
      <c r="CC1036" s="108"/>
      <c r="CD1036" s="108"/>
      <c r="CE1036" s="108"/>
      <c r="CF1036" s="108"/>
      <c r="CG1036" s="108"/>
      <c r="CH1036" s="108"/>
      <c r="CI1036" s="108"/>
      <c r="CJ1036" s="108"/>
      <c r="CK1036" s="108"/>
      <c r="CL1036" s="108"/>
      <c r="CM1036" s="108"/>
      <c r="CN1036" s="110"/>
      <c r="CO1036" s="111"/>
      <c r="CP1036" s="110"/>
      <c r="CQ1036" s="111"/>
      <c r="CR1036" s="110"/>
      <c r="CS1036" s="111"/>
      <c r="CT1036" s="112">
        <f t="shared" si="257"/>
        <v>0</v>
      </c>
      <c r="CU1036" s="113"/>
      <c r="CV1036" s="114"/>
      <c r="CW1036" s="115"/>
      <c r="CX1036" s="116"/>
      <c r="CY1036" s="117"/>
      <c r="CZ1036" s="116"/>
      <c r="DA1036" s="113"/>
      <c r="DB1036" s="114"/>
      <c r="DC1036" s="64"/>
      <c r="DD1036" s="118"/>
    </row>
    <row r="1037" spans="1:108" s="119" customFormat="1" ht="24" outlineLevel="2">
      <c r="A1037" s="178">
        <v>40497</v>
      </c>
      <c r="B1037" s="164" t="s">
        <v>1144</v>
      </c>
      <c r="C1037" s="164" t="s">
        <v>1562</v>
      </c>
      <c r="D1037" s="166" t="s">
        <v>1182</v>
      </c>
      <c r="E1037" s="163"/>
      <c r="F1037" s="105"/>
      <c r="G1037" s="105"/>
      <c r="H1037" s="105">
        <v>592</v>
      </c>
      <c r="I1037" s="105">
        <v>148</v>
      </c>
      <c r="J1037" s="105"/>
      <c r="K1037" s="105">
        <v>148</v>
      </c>
      <c r="L1037" s="105"/>
      <c r="M1037" s="105"/>
      <c r="N1037" s="105"/>
      <c r="O1037" s="105"/>
      <c r="P1037" s="105"/>
      <c r="Q1037" s="105"/>
      <c r="R1037" s="105"/>
      <c r="S1037" s="105"/>
      <c r="T1037" s="106"/>
      <c r="U1037" s="130" t="s">
        <v>348</v>
      </c>
      <c r="V1037" s="1"/>
      <c r="W1037" s="68">
        <f t="shared" si="252"/>
        <v>0</v>
      </c>
      <c r="X1037" s="68">
        <f t="shared" si="253"/>
        <v>0</v>
      </c>
      <c r="Y1037" s="68">
        <f t="shared" si="254"/>
        <v>0</v>
      </c>
      <c r="Z1037" s="68">
        <f t="shared" si="255"/>
        <v>0</v>
      </c>
      <c r="AA1037" s="68"/>
      <c r="AB1037" s="68">
        <v>0</v>
      </c>
      <c r="AC1037" s="69">
        <f t="shared" si="256"/>
        <v>0</v>
      </c>
      <c r="AD1037" s="70">
        <v>0</v>
      </c>
      <c r="AE1037" s="63">
        <v>40508</v>
      </c>
      <c r="AF1037" s="72"/>
      <c r="AG1037" s="63" t="s">
        <v>938</v>
      </c>
      <c r="AH1037" s="23" t="s">
        <v>939</v>
      </c>
      <c r="AI1037" s="60"/>
      <c r="AJ1037" s="124" t="s">
        <v>1608</v>
      </c>
      <c r="AK1037" s="121" t="s">
        <v>347</v>
      </c>
      <c r="AL1037" s="107"/>
      <c r="AM1037" s="108"/>
      <c r="AN1037" s="109"/>
      <c r="AO1037" s="108"/>
      <c r="AP1037" s="108"/>
      <c r="AQ1037" s="108"/>
      <c r="AR1037" s="108"/>
      <c r="AS1037" s="108"/>
      <c r="AT1037" s="108"/>
      <c r="AU1037" s="108"/>
      <c r="AV1037" s="108"/>
      <c r="AW1037" s="108"/>
      <c r="AX1037" s="108"/>
      <c r="AY1037" s="108"/>
      <c r="AZ1037" s="108"/>
      <c r="BA1037" s="108"/>
      <c r="BB1037" s="108"/>
      <c r="BC1037" s="108"/>
      <c r="BD1037" s="108"/>
      <c r="BE1037" s="108"/>
      <c r="BF1037" s="108"/>
      <c r="BG1037" s="108"/>
      <c r="BH1037" s="108"/>
      <c r="BI1037" s="108"/>
      <c r="BJ1037" s="108"/>
      <c r="BK1037" s="108"/>
      <c r="BL1037" s="108"/>
      <c r="BM1037" s="108"/>
      <c r="BN1037" s="108"/>
      <c r="BO1037" s="108"/>
      <c r="BP1037" s="108"/>
      <c r="BQ1037" s="108"/>
      <c r="BR1037" s="108"/>
      <c r="BS1037" s="108"/>
      <c r="BT1037" s="108"/>
      <c r="BU1037" s="108"/>
      <c r="BV1037" s="108"/>
      <c r="BW1037" s="108"/>
      <c r="BX1037" s="108"/>
      <c r="BY1037" s="108"/>
      <c r="BZ1037" s="108"/>
      <c r="CA1037" s="108"/>
      <c r="CB1037" s="108"/>
      <c r="CC1037" s="108"/>
      <c r="CD1037" s="108"/>
      <c r="CE1037" s="108"/>
      <c r="CF1037" s="108"/>
      <c r="CG1037" s="108"/>
      <c r="CH1037" s="108"/>
      <c r="CI1037" s="108"/>
      <c r="CJ1037" s="108"/>
      <c r="CK1037" s="108"/>
      <c r="CL1037" s="108"/>
      <c r="CM1037" s="108"/>
      <c r="CN1037" s="110"/>
      <c r="CO1037" s="111"/>
      <c r="CP1037" s="110"/>
      <c r="CQ1037" s="111"/>
      <c r="CR1037" s="110"/>
      <c r="CS1037" s="111"/>
      <c r="CT1037" s="112">
        <f t="shared" si="257"/>
        <v>0</v>
      </c>
      <c r="CU1037" s="113"/>
      <c r="CV1037" s="114"/>
      <c r="CW1037" s="115"/>
      <c r="CX1037" s="116"/>
      <c r="CY1037" s="117"/>
      <c r="CZ1037" s="116"/>
      <c r="DA1037" s="113"/>
      <c r="DB1037" s="114"/>
      <c r="DC1037" s="64"/>
      <c r="DD1037" s="118"/>
    </row>
    <row r="1038" spans="1:108" s="119" customFormat="1" ht="60" outlineLevel="2">
      <c r="A1038" s="178">
        <v>40498</v>
      </c>
      <c r="B1038" s="164" t="s">
        <v>1144</v>
      </c>
      <c r="C1038" s="164" t="s">
        <v>645</v>
      </c>
      <c r="D1038" s="165" t="s">
        <v>1182</v>
      </c>
      <c r="E1038" s="163"/>
      <c r="F1038" s="105"/>
      <c r="G1038" s="105"/>
      <c r="H1038" s="105">
        <v>536</v>
      </c>
      <c r="I1038" s="105">
        <v>134</v>
      </c>
      <c r="J1038" s="105"/>
      <c r="K1038" s="105">
        <v>134</v>
      </c>
      <c r="L1038" s="105">
        <v>2</v>
      </c>
      <c r="M1038" s="105"/>
      <c r="N1038" s="105"/>
      <c r="O1038" s="105"/>
      <c r="P1038" s="105"/>
      <c r="Q1038" s="105"/>
      <c r="R1038" s="105"/>
      <c r="S1038" s="105"/>
      <c r="T1038" s="106"/>
      <c r="U1038" s="130"/>
      <c r="V1038" s="1"/>
      <c r="W1038" s="68">
        <f t="shared" si="252"/>
        <v>0</v>
      </c>
      <c r="X1038" s="68">
        <f t="shared" si="253"/>
        <v>0</v>
      </c>
      <c r="Y1038" s="68">
        <f t="shared" si="254"/>
        <v>0</v>
      </c>
      <c r="Z1038" s="68">
        <f t="shared" si="255"/>
        <v>0</v>
      </c>
      <c r="AA1038" s="68"/>
      <c r="AB1038" s="68">
        <v>0</v>
      </c>
      <c r="AC1038" s="69">
        <f t="shared" si="256"/>
        <v>0</v>
      </c>
      <c r="AD1038" s="70">
        <v>0</v>
      </c>
      <c r="AE1038" s="63">
        <v>40497</v>
      </c>
      <c r="AF1038" s="72"/>
      <c r="AG1038" s="63" t="s">
        <v>938</v>
      </c>
      <c r="AH1038" s="23" t="s">
        <v>939</v>
      </c>
      <c r="AI1038" s="60"/>
      <c r="AJ1038" s="124" t="s">
        <v>1608</v>
      </c>
      <c r="AK1038" s="121" t="s">
        <v>646</v>
      </c>
      <c r="AL1038" s="107"/>
      <c r="AM1038" s="108"/>
      <c r="AN1038" s="109"/>
      <c r="AO1038" s="108"/>
      <c r="AP1038" s="108"/>
      <c r="AQ1038" s="108"/>
      <c r="AR1038" s="108"/>
      <c r="AS1038" s="108"/>
      <c r="AT1038" s="108"/>
      <c r="AU1038" s="108"/>
      <c r="AV1038" s="108"/>
      <c r="AW1038" s="108"/>
      <c r="AX1038" s="108"/>
      <c r="AY1038" s="108"/>
      <c r="AZ1038" s="108"/>
      <c r="BA1038" s="108"/>
      <c r="BB1038" s="108"/>
      <c r="BC1038" s="108"/>
      <c r="BD1038" s="108"/>
      <c r="BE1038" s="108"/>
      <c r="BF1038" s="108"/>
      <c r="BG1038" s="108"/>
      <c r="BH1038" s="108"/>
      <c r="BI1038" s="108"/>
      <c r="BJ1038" s="108"/>
      <c r="BK1038" s="108"/>
      <c r="BL1038" s="108"/>
      <c r="BM1038" s="108"/>
      <c r="BN1038" s="108"/>
      <c r="BO1038" s="108"/>
      <c r="BP1038" s="108"/>
      <c r="BQ1038" s="108"/>
      <c r="BR1038" s="108"/>
      <c r="BS1038" s="108"/>
      <c r="BT1038" s="108"/>
      <c r="BU1038" s="108"/>
      <c r="BV1038" s="108"/>
      <c r="BW1038" s="108"/>
      <c r="BX1038" s="108"/>
      <c r="BY1038" s="108"/>
      <c r="BZ1038" s="108"/>
      <c r="CA1038" s="108"/>
      <c r="CB1038" s="108"/>
      <c r="CC1038" s="108"/>
      <c r="CD1038" s="108"/>
      <c r="CE1038" s="108"/>
      <c r="CF1038" s="108"/>
      <c r="CG1038" s="108"/>
      <c r="CH1038" s="108"/>
      <c r="CI1038" s="108"/>
      <c r="CJ1038" s="108"/>
      <c r="CK1038" s="108"/>
      <c r="CL1038" s="108"/>
      <c r="CM1038" s="108"/>
      <c r="CN1038" s="110"/>
      <c r="CO1038" s="111"/>
      <c r="CP1038" s="110"/>
      <c r="CQ1038" s="111"/>
      <c r="CR1038" s="110"/>
      <c r="CS1038" s="111"/>
      <c r="CT1038" s="112">
        <f t="shared" si="257"/>
        <v>0</v>
      </c>
      <c r="CU1038" s="113"/>
      <c r="CV1038" s="114"/>
      <c r="CW1038" s="115"/>
      <c r="CX1038" s="116"/>
      <c r="CY1038" s="117"/>
      <c r="CZ1038" s="116"/>
      <c r="DA1038" s="113"/>
      <c r="DB1038" s="114"/>
      <c r="DC1038" s="64"/>
      <c r="DD1038" s="118"/>
    </row>
    <row r="1039" spans="1:108" s="119" customFormat="1" ht="72" outlineLevel="2">
      <c r="A1039" s="178">
        <v>40498</v>
      </c>
      <c r="B1039" s="164" t="s">
        <v>1144</v>
      </c>
      <c r="C1039" s="164" t="s">
        <v>312</v>
      </c>
      <c r="D1039" s="165" t="s">
        <v>1182</v>
      </c>
      <c r="E1039" s="163"/>
      <c r="F1039" s="105"/>
      <c r="G1039" s="105"/>
      <c r="H1039" s="105">
        <v>155</v>
      </c>
      <c r="I1039" s="105">
        <v>31</v>
      </c>
      <c r="J1039" s="105"/>
      <c r="K1039" s="105">
        <v>31</v>
      </c>
      <c r="L1039" s="105">
        <v>7</v>
      </c>
      <c r="M1039" s="105"/>
      <c r="N1039" s="105"/>
      <c r="O1039" s="105"/>
      <c r="P1039" s="105"/>
      <c r="Q1039" s="105"/>
      <c r="R1039" s="105"/>
      <c r="S1039" s="105"/>
      <c r="T1039" s="106"/>
      <c r="U1039" s="130"/>
      <c r="V1039" s="1"/>
      <c r="W1039" s="68">
        <f t="shared" si="252"/>
        <v>0</v>
      </c>
      <c r="X1039" s="68">
        <f t="shared" si="253"/>
        <v>0</v>
      </c>
      <c r="Y1039" s="68">
        <f t="shared" si="254"/>
        <v>0</v>
      </c>
      <c r="Z1039" s="68">
        <f t="shared" si="255"/>
        <v>0</v>
      </c>
      <c r="AA1039" s="68"/>
      <c r="AB1039" s="68">
        <v>0</v>
      </c>
      <c r="AC1039" s="69">
        <f t="shared" si="256"/>
        <v>0</v>
      </c>
      <c r="AD1039" s="70">
        <v>0</v>
      </c>
      <c r="AE1039" s="63">
        <v>40497</v>
      </c>
      <c r="AF1039" s="72"/>
      <c r="AG1039" s="63" t="s">
        <v>938</v>
      </c>
      <c r="AH1039" s="23" t="s">
        <v>939</v>
      </c>
      <c r="AI1039" s="60"/>
      <c r="AJ1039" s="124" t="s">
        <v>1608</v>
      </c>
      <c r="AK1039" s="121" t="s">
        <v>634</v>
      </c>
      <c r="AL1039" s="107"/>
      <c r="AM1039" s="108"/>
      <c r="AN1039" s="109"/>
      <c r="AO1039" s="108"/>
      <c r="AP1039" s="108"/>
      <c r="AQ1039" s="108"/>
      <c r="AR1039" s="108"/>
      <c r="AS1039" s="108"/>
      <c r="AT1039" s="108"/>
      <c r="AU1039" s="108"/>
      <c r="AV1039" s="108"/>
      <c r="AW1039" s="108"/>
      <c r="AX1039" s="108"/>
      <c r="AY1039" s="108"/>
      <c r="AZ1039" s="108"/>
      <c r="BA1039" s="108"/>
      <c r="BB1039" s="108"/>
      <c r="BC1039" s="108"/>
      <c r="BD1039" s="108"/>
      <c r="BE1039" s="108"/>
      <c r="BF1039" s="108"/>
      <c r="BG1039" s="108"/>
      <c r="BH1039" s="108"/>
      <c r="BI1039" s="108"/>
      <c r="BJ1039" s="108"/>
      <c r="BK1039" s="108"/>
      <c r="BL1039" s="108"/>
      <c r="BM1039" s="108"/>
      <c r="BN1039" s="108"/>
      <c r="BO1039" s="108"/>
      <c r="BP1039" s="108"/>
      <c r="BQ1039" s="108"/>
      <c r="BR1039" s="108"/>
      <c r="BS1039" s="108"/>
      <c r="BT1039" s="108"/>
      <c r="BU1039" s="108"/>
      <c r="BV1039" s="108"/>
      <c r="BW1039" s="108"/>
      <c r="BX1039" s="108"/>
      <c r="BY1039" s="108"/>
      <c r="BZ1039" s="108"/>
      <c r="CA1039" s="108"/>
      <c r="CB1039" s="108"/>
      <c r="CC1039" s="108"/>
      <c r="CD1039" s="108"/>
      <c r="CE1039" s="108"/>
      <c r="CF1039" s="108"/>
      <c r="CG1039" s="108"/>
      <c r="CH1039" s="108"/>
      <c r="CI1039" s="108"/>
      <c r="CJ1039" s="108"/>
      <c r="CK1039" s="108"/>
      <c r="CL1039" s="108"/>
      <c r="CM1039" s="108"/>
      <c r="CN1039" s="110"/>
      <c r="CO1039" s="111"/>
      <c r="CP1039" s="110"/>
      <c r="CQ1039" s="111"/>
      <c r="CR1039" s="110"/>
      <c r="CS1039" s="111"/>
      <c r="CT1039" s="112">
        <f t="shared" si="257"/>
        <v>0</v>
      </c>
      <c r="CU1039" s="113"/>
      <c r="CV1039" s="114"/>
      <c r="CW1039" s="115"/>
      <c r="CX1039" s="116"/>
      <c r="CY1039" s="117"/>
      <c r="CZ1039" s="116"/>
      <c r="DA1039" s="113"/>
      <c r="DB1039" s="114"/>
      <c r="DC1039" s="64"/>
      <c r="DD1039" s="118"/>
    </row>
    <row r="1040" spans="1:108" s="119" customFormat="1" ht="96" outlineLevel="2">
      <c r="A1040" s="178">
        <v>40499</v>
      </c>
      <c r="B1040" s="164" t="s">
        <v>1144</v>
      </c>
      <c r="C1040" s="164" t="s">
        <v>635</v>
      </c>
      <c r="D1040" s="165" t="s">
        <v>1182</v>
      </c>
      <c r="E1040" s="163"/>
      <c r="F1040" s="105"/>
      <c r="G1040" s="105"/>
      <c r="H1040" s="105">
        <f>150+28</f>
        <v>178</v>
      </c>
      <c r="I1040" s="105">
        <v>37</v>
      </c>
      <c r="J1040" s="105"/>
      <c r="K1040" s="105">
        <v>37</v>
      </c>
      <c r="L1040" s="105">
        <v>8</v>
      </c>
      <c r="M1040" s="105"/>
      <c r="N1040" s="105"/>
      <c r="O1040" s="105">
        <v>1</v>
      </c>
      <c r="P1040" s="105"/>
      <c r="Q1040" s="105"/>
      <c r="R1040" s="105">
        <v>2</v>
      </c>
      <c r="S1040" s="105"/>
      <c r="T1040" s="106"/>
      <c r="U1040" s="130"/>
      <c r="V1040" s="1"/>
      <c r="W1040" s="68">
        <f t="shared" si="252"/>
        <v>0</v>
      </c>
      <c r="X1040" s="68">
        <f t="shared" si="253"/>
        <v>0</v>
      </c>
      <c r="Y1040" s="68">
        <f t="shared" si="254"/>
        <v>0</v>
      </c>
      <c r="Z1040" s="68">
        <f t="shared" si="255"/>
        <v>0</v>
      </c>
      <c r="AA1040" s="68"/>
      <c r="AB1040" s="68">
        <v>0</v>
      </c>
      <c r="AC1040" s="69">
        <f t="shared" si="256"/>
        <v>0</v>
      </c>
      <c r="AD1040" s="70">
        <v>0</v>
      </c>
      <c r="AE1040" s="63">
        <v>40504</v>
      </c>
      <c r="AF1040" s="72"/>
      <c r="AG1040" s="63" t="s">
        <v>938</v>
      </c>
      <c r="AH1040" s="23" t="s">
        <v>939</v>
      </c>
      <c r="AI1040" s="60"/>
      <c r="AJ1040" s="124" t="s">
        <v>1608</v>
      </c>
      <c r="AK1040" s="121" t="s">
        <v>342</v>
      </c>
      <c r="AL1040" s="107"/>
      <c r="AM1040" s="108"/>
      <c r="AN1040" s="109"/>
      <c r="AO1040" s="108"/>
      <c r="AP1040" s="108"/>
      <c r="AQ1040" s="108"/>
      <c r="AR1040" s="108"/>
      <c r="AS1040" s="108"/>
      <c r="AT1040" s="108"/>
      <c r="AU1040" s="108"/>
      <c r="AV1040" s="108"/>
      <c r="AW1040" s="108"/>
      <c r="AX1040" s="108"/>
      <c r="AY1040" s="108"/>
      <c r="AZ1040" s="108"/>
      <c r="BA1040" s="108"/>
      <c r="BB1040" s="108"/>
      <c r="BC1040" s="108"/>
      <c r="BD1040" s="108"/>
      <c r="BE1040" s="108"/>
      <c r="BF1040" s="108"/>
      <c r="BG1040" s="108"/>
      <c r="BH1040" s="108"/>
      <c r="BI1040" s="108"/>
      <c r="BJ1040" s="108"/>
      <c r="BK1040" s="108"/>
      <c r="BL1040" s="108"/>
      <c r="BM1040" s="108"/>
      <c r="BN1040" s="108"/>
      <c r="BO1040" s="108"/>
      <c r="BP1040" s="108"/>
      <c r="BQ1040" s="108"/>
      <c r="BR1040" s="108"/>
      <c r="BS1040" s="108"/>
      <c r="BT1040" s="108"/>
      <c r="BU1040" s="108"/>
      <c r="BV1040" s="108"/>
      <c r="BW1040" s="108"/>
      <c r="BX1040" s="108"/>
      <c r="BY1040" s="108"/>
      <c r="BZ1040" s="108"/>
      <c r="CA1040" s="108"/>
      <c r="CB1040" s="108"/>
      <c r="CC1040" s="108"/>
      <c r="CD1040" s="108"/>
      <c r="CE1040" s="108"/>
      <c r="CF1040" s="108"/>
      <c r="CG1040" s="108"/>
      <c r="CH1040" s="108"/>
      <c r="CI1040" s="108"/>
      <c r="CJ1040" s="108"/>
      <c r="CK1040" s="108"/>
      <c r="CL1040" s="108"/>
      <c r="CM1040" s="108"/>
      <c r="CN1040" s="110"/>
      <c r="CO1040" s="111"/>
      <c r="CP1040" s="110"/>
      <c r="CQ1040" s="111"/>
      <c r="CR1040" s="110"/>
      <c r="CS1040" s="111"/>
      <c r="CT1040" s="112">
        <f t="shared" si="257"/>
        <v>0</v>
      </c>
      <c r="CU1040" s="113"/>
      <c r="CV1040" s="114"/>
      <c r="CW1040" s="115"/>
      <c r="CX1040" s="116"/>
      <c r="CY1040" s="117"/>
      <c r="CZ1040" s="116"/>
      <c r="DA1040" s="113"/>
      <c r="DB1040" s="114"/>
      <c r="DC1040" s="64"/>
      <c r="DD1040" s="118"/>
    </row>
    <row r="1041" spans="1:108" s="119" customFormat="1" ht="36" outlineLevel="2">
      <c r="A1041" s="178">
        <v>40499</v>
      </c>
      <c r="B1041" s="164" t="s">
        <v>1144</v>
      </c>
      <c r="C1041" s="164" t="s">
        <v>651</v>
      </c>
      <c r="D1041" s="165" t="s">
        <v>1182</v>
      </c>
      <c r="E1041" s="163"/>
      <c r="F1041" s="105"/>
      <c r="G1041" s="105"/>
      <c r="H1041" s="105"/>
      <c r="I1041" s="105"/>
      <c r="J1041" s="105"/>
      <c r="K1041" s="105"/>
      <c r="L1041" s="105">
        <v>4</v>
      </c>
      <c r="M1041" s="105"/>
      <c r="N1041" s="105"/>
      <c r="O1041" s="105"/>
      <c r="P1041" s="105"/>
      <c r="Q1041" s="105"/>
      <c r="R1041" s="105"/>
      <c r="S1041" s="105"/>
      <c r="T1041" s="106"/>
      <c r="U1041" s="130"/>
      <c r="V1041" s="1"/>
      <c r="W1041" s="68">
        <f t="shared" si="252"/>
        <v>0</v>
      </c>
      <c r="X1041" s="68">
        <f t="shared" si="253"/>
        <v>0</v>
      </c>
      <c r="Y1041" s="68">
        <f t="shared" si="254"/>
        <v>0</v>
      </c>
      <c r="Z1041" s="68">
        <f t="shared" si="255"/>
        <v>0</v>
      </c>
      <c r="AA1041" s="68"/>
      <c r="AB1041" s="68">
        <v>0</v>
      </c>
      <c r="AC1041" s="69">
        <f t="shared" si="256"/>
        <v>0</v>
      </c>
      <c r="AD1041" s="70">
        <v>0</v>
      </c>
      <c r="AE1041" s="63">
        <v>40504</v>
      </c>
      <c r="AF1041" s="72"/>
      <c r="AG1041" s="63" t="s">
        <v>938</v>
      </c>
      <c r="AH1041" s="23" t="s">
        <v>939</v>
      </c>
      <c r="AI1041" s="60"/>
      <c r="AJ1041" s="124" t="s">
        <v>1608</v>
      </c>
      <c r="AK1041" s="121" t="s">
        <v>652</v>
      </c>
      <c r="AL1041" s="107"/>
      <c r="AM1041" s="108"/>
      <c r="AN1041" s="109"/>
      <c r="AO1041" s="108"/>
      <c r="AP1041" s="108"/>
      <c r="AQ1041" s="108"/>
      <c r="AR1041" s="108"/>
      <c r="AS1041" s="108"/>
      <c r="AT1041" s="108"/>
      <c r="AU1041" s="108"/>
      <c r="AV1041" s="108"/>
      <c r="AW1041" s="108"/>
      <c r="AX1041" s="108"/>
      <c r="AY1041" s="108"/>
      <c r="AZ1041" s="108"/>
      <c r="BA1041" s="108"/>
      <c r="BB1041" s="108"/>
      <c r="BC1041" s="108"/>
      <c r="BD1041" s="108"/>
      <c r="BE1041" s="108"/>
      <c r="BF1041" s="108"/>
      <c r="BG1041" s="108"/>
      <c r="BH1041" s="108"/>
      <c r="BI1041" s="108"/>
      <c r="BJ1041" s="108"/>
      <c r="BK1041" s="108"/>
      <c r="BL1041" s="108"/>
      <c r="BM1041" s="108"/>
      <c r="BN1041" s="108"/>
      <c r="BO1041" s="108"/>
      <c r="BP1041" s="108"/>
      <c r="BQ1041" s="108"/>
      <c r="BR1041" s="108"/>
      <c r="BS1041" s="108"/>
      <c r="BT1041" s="108"/>
      <c r="BU1041" s="108"/>
      <c r="BV1041" s="108"/>
      <c r="BW1041" s="108"/>
      <c r="BX1041" s="108"/>
      <c r="BY1041" s="108"/>
      <c r="BZ1041" s="108"/>
      <c r="CA1041" s="108"/>
      <c r="CB1041" s="108"/>
      <c r="CC1041" s="108"/>
      <c r="CD1041" s="108"/>
      <c r="CE1041" s="108"/>
      <c r="CF1041" s="108"/>
      <c r="CG1041" s="108"/>
      <c r="CH1041" s="108"/>
      <c r="CI1041" s="108"/>
      <c r="CJ1041" s="108"/>
      <c r="CK1041" s="108"/>
      <c r="CL1041" s="108"/>
      <c r="CM1041" s="108"/>
      <c r="CN1041" s="110"/>
      <c r="CO1041" s="111"/>
      <c r="CP1041" s="110"/>
      <c r="CQ1041" s="111"/>
      <c r="CR1041" s="110"/>
      <c r="CS1041" s="111"/>
      <c r="CT1041" s="112">
        <f t="shared" si="257"/>
        <v>0</v>
      </c>
      <c r="CU1041" s="113"/>
      <c r="CV1041" s="114"/>
      <c r="CW1041" s="115"/>
      <c r="CX1041" s="116"/>
      <c r="CY1041" s="117"/>
      <c r="CZ1041" s="116"/>
      <c r="DA1041" s="113"/>
      <c r="DB1041" s="114"/>
      <c r="DC1041" s="64"/>
      <c r="DD1041" s="118"/>
    </row>
    <row r="1042" spans="1:108" s="119" customFormat="1" ht="96" outlineLevel="2">
      <c r="A1042" s="178">
        <v>40499</v>
      </c>
      <c r="B1042" s="164" t="s">
        <v>1144</v>
      </c>
      <c r="C1042" s="164" t="s">
        <v>647</v>
      </c>
      <c r="D1042" s="165" t="s">
        <v>1182</v>
      </c>
      <c r="E1042" s="163"/>
      <c r="F1042" s="105"/>
      <c r="G1042" s="105"/>
      <c r="H1042" s="105"/>
      <c r="I1042" s="105"/>
      <c r="J1042" s="105"/>
      <c r="K1042" s="105"/>
      <c r="L1042" s="105">
        <v>9</v>
      </c>
      <c r="M1042" s="105"/>
      <c r="N1042" s="105"/>
      <c r="O1042" s="105"/>
      <c r="P1042" s="105"/>
      <c r="Q1042" s="105"/>
      <c r="R1042" s="105"/>
      <c r="S1042" s="105"/>
      <c r="T1042" s="106"/>
      <c r="U1042" s="130"/>
      <c r="V1042" s="1"/>
      <c r="W1042" s="68">
        <f t="shared" si="252"/>
        <v>0</v>
      </c>
      <c r="X1042" s="68">
        <f t="shared" si="253"/>
        <v>0</v>
      </c>
      <c r="Y1042" s="68">
        <f t="shared" si="254"/>
        <v>0</v>
      </c>
      <c r="Z1042" s="68">
        <f t="shared" si="255"/>
        <v>0</v>
      </c>
      <c r="AA1042" s="68"/>
      <c r="AB1042" s="68">
        <v>0</v>
      </c>
      <c r="AC1042" s="69">
        <f t="shared" si="256"/>
        <v>0</v>
      </c>
      <c r="AD1042" s="70">
        <v>0</v>
      </c>
      <c r="AE1042" s="63">
        <v>40504</v>
      </c>
      <c r="AF1042" s="72"/>
      <c r="AG1042" s="63" t="s">
        <v>938</v>
      </c>
      <c r="AH1042" s="23" t="s">
        <v>939</v>
      </c>
      <c r="AI1042" s="60"/>
      <c r="AJ1042" s="124" t="s">
        <v>1608</v>
      </c>
      <c r="AK1042" s="121" t="s">
        <v>648</v>
      </c>
      <c r="AL1042" s="107"/>
      <c r="AM1042" s="108"/>
      <c r="AN1042" s="109"/>
      <c r="AO1042" s="108"/>
      <c r="AP1042" s="108"/>
      <c r="AQ1042" s="108"/>
      <c r="AR1042" s="108"/>
      <c r="AS1042" s="108"/>
      <c r="AT1042" s="108"/>
      <c r="AU1042" s="108"/>
      <c r="AV1042" s="108"/>
      <c r="AW1042" s="108"/>
      <c r="AX1042" s="108"/>
      <c r="AY1042" s="108"/>
      <c r="AZ1042" s="108"/>
      <c r="BA1042" s="108"/>
      <c r="BB1042" s="108"/>
      <c r="BC1042" s="108"/>
      <c r="BD1042" s="108"/>
      <c r="BE1042" s="108"/>
      <c r="BF1042" s="108"/>
      <c r="BG1042" s="108"/>
      <c r="BH1042" s="108"/>
      <c r="BI1042" s="108"/>
      <c r="BJ1042" s="108"/>
      <c r="BK1042" s="108"/>
      <c r="BL1042" s="108"/>
      <c r="BM1042" s="108"/>
      <c r="BN1042" s="108"/>
      <c r="BO1042" s="108"/>
      <c r="BP1042" s="108"/>
      <c r="BQ1042" s="108"/>
      <c r="BR1042" s="108"/>
      <c r="BS1042" s="108"/>
      <c r="BT1042" s="108"/>
      <c r="BU1042" s="108"/>
      <c r="BV1042" s="108"/>
      <c r="BW1042" s="108"/>
      <c r="BX1042" s="108"/>
      <c r="BY1042" s="108"/>
      <c r="BZ1042" s="108"/>
      <c r="CA1042" s="108"/>
      <c r="CB1042" s="108"/>
      <c r="CC1042" s="108"/>
      <c r="CD1042" s="108"/>
      <c r="CE1042" s="108"/>
      <c r="CF1042" s="108"/>
      <c r="CG1042" s="108"/>
      <c r="CH1042" s="108"/>
      <c r="CI1042" s="108"/>
      <c r="CJ1042" s="108"/>
      <c r="CK1042" s="108"/>
      <c r="CL1042" s="108"/>
      <c r="CM1042" s="108"/>
      <c r="CN1042" s="110"/>
      <c r="CO1042" s="111"/>
      <c r="CP1042" s="110"/>
      <c r="CQ1042" s="111"/>
      <c r="CR1042" s="110"/>
      <c r="CS1042" s="111"/>
      <c r="CT1042" s="112">
        <f t="shared" si="257"/>
        <v>0</v>
      </c>
      <c r="CU1042" s="113"/>
      <c r="CV1042" s="114"/>
      <c r="CW1042" s="115"/>
      <c r="CX1042" s="116"/>
      <c r="CY1042" s="117"/>
      <c r="CZ1042" s="116"/>
      <c r="DA1042" s="113"/>
      <c r="DB1042" s="114"/>
      <c r="DC1042" s="64"/>
      <c r="DD1042" s="118"/>
    </row>
    <row r="1043" spans="1:108" s="119" customFormat="1" ht="60" outlineLevel="2">
      <c r="A1043" s="178">
        <v>40499</v>
      </c>
      <c r="B1043" s="164" t="s">
        <v>1144</v>
      </c>
      <c r="C1043" s="164" t="s">
        <v>617</v>
      </c>
      <c r="D1043" s="166" t="s">
        <v>1262</v>
      </c>
      <c r="E1043" s="163"/>
      <c r="F1043" s="105"/>
      <c r="G1043" s="105"/>
      <c r="H1043" s="105">
        <v>4000</v>
      </c>
      <c r="I1043" s="105">
        <v>800</v>
      </c>
      <c r="J1043" s="105"/>
      <c r="K1043" s="105">
        <v>800</v>
      </c>
      <c r="L1043" s="105"/>
      <c r="M1043" s="105"/>
      <c r="N1043" s="105"/>
      <c r="O1043" s="105"/>
      <c r="P1043" s="105"/>
      <c r="Q1043" s="105"/>
      <c r="R1043" s="105"/>
      <c r="S1043" s="105"/>
      <c r="T1043" s="106"/>
      <c r="U1043" s="130" t="s">
        <v>350</v>
      </c>
      <c r="V1043" s="1"/>
      <c r="W1043" s="68">
        <f t="shared" si="252"/>
        <v>0</v>
      </c>
      <c r="X1043" s="68">
        <f t="shared" si="253"/>
        <v>0</v>
      </c>
      <c r="Y1043" s="68">
        <f t="shared" si="254"/>
        <v>0</v>
      </c>
      <c r="Z1043" s="68">
        <f t="shared" si="255"/>
        <v>0</v>
      </c>
      <c r="AA1043" s="68"/>
      <c r="AB1043" s="68">
        <v>0</v>
      </c>
      <c r="AC1043" s="69">
        <f t="shared" si="256"/>
        <v>0</v>
      </c>
      <c r="AD1043" s="70">
        <v>0</v>
      </c>
      <c r="AE1043" s="63">
        <v>40504</v>
      </c>
      <c r="AF1043" s="72"/>
      <c r="AG1043" s="63" t="s">
        <v>938</v>
      </c>
      <c r="AH1043" s="23" t="s">
        <v>939</v>
      </c>
      <c r="AI1043" s="60"/>
      <c r="AJ1043" s="124" t="s">
        <v>1608</v>
      </c>
      <c r="AK1043" s="121" t="s">
        <v>349</v>
      </c>
      <c r="AL1043" s="107"/>
      <c r="AM1043" s="108"/>
      <c r="AN1043" s="109"/>
      <c r="AO1043" s="108"/>
      <c r="AP1043" s="108"/>
      <c r="AQ1043" s="108"/>
      <c r="AR1043" s="108"/>
      <c r="AS1043" s="108"/>
      <c r="AT1043" s="108"/>
      <c r="AU1043" s="108"/>
      <c r="AV1043" s="108"/>
      <c r="AW1043" s="108"/>
      <c r="AX1043" s="108"/>
      <c r="AY1043" s="108"/>
      <c r="AZ1043" s="108"/>
      <c r="BA1043" s="108"/>
      <c r="BB1043" s="108"/>
      <c r="BC1043" s="108"/>
      <c r="BD1043" s="108"/>
      <c r="BE1043" s="108"/>
      <c r="BF1043" s="108"/>
      <c r="BG1043" s="108"/>
      <c r="BH1043" s="108"/>
      <c r="BI1043" s="108"/>
      <c r="BJ1043" s="108"/>
      <c r="BK1043" s="108"/>
      <c r="BL1043" s="108"/>
      <c r="BM1043" s="108"/>
      <c r="BN1043" s="108"/>
      <c r="BO1043" s="108"/>
      <c r="BP1043" s="108"/>
      <c r="BQ1043" s="108"/>
      <c r="BR1043" s="108"/>
      <c r="BS1043" s="108"/>
      <c r="BT1043" s="108"/>
      <c r="BU1043" s="108"/>
      <c r="BV1043" s="108"/>
      <c r="BW1043" s="108"/>
      <c r="BX1043" s="108"/>
      <c r="BY1043" s="108"/>
      <c r="BZ1043" s="108"/>
      <c r="CA1043" s="108"/>
      <c r="CB1043" s="108"/>
      <c r="CC1043" s="108"/>
      <c r="CD1043" s="108"/>
      <c r="CE1043" s="108"/>
      <c r="CF1043" s="108"/>
      <c r="CG1043" s="108"/>
      <c r="CH1043" s="108"/>
      <c r="CI1043" s="108"/>
      <c r="CJ1043" s="108"/>
      <c r="CK1043" s="108"/>
      <c r="CL1043" s="108"/>
      <c r="CM1043" s="108"/>
      <c r="CN1043" s="110"/>
      <c r="CO1043" s="111"/>
      <c r="CP1043" s="110"/>
      <c r="CQ1043" s="111"/>
      <c r="CR1043" s="110"/>
      <c r="CS1043" s="111"/>
      <c r="CT1043" s="112">
        <f t="shared" si="257"/>
        <v>0</v>
      </c>
      <c r="CU1043" s="113"/>
      <c r="CV1043" s="114"/>
      <c r="CW1043" s="115"/>
      <c r="CX1043" s="116"/>
      <c r="CY1043" s="117"/>
      <c r="CZ1043" s="116"/>
      <c r="DA1043" s="113"/>
      <c r="DB1043" s="114"/>
      <c r="DC1043" s="64"/>
      <c r="DD1043" s="118"/>
    </row>
    <row r="1044" spans="1:108" s="119" customFormat="1" outlineLevel="2">
      <c r="A1044" s="178">
        <v>40499</v>
      </c>
      <c r="B1044" s="164" t="s">
        <v>1144</v>
      </c>
      <c r="C1044" s="164" t="s">
        <v>1563</v>
      </c>
      <c r="D1044" s="166" t="s">
        <v>1262</v>
      </c>
      <c r="E1044" s="163"/>
      <c r="F1044" s="105"/>
      <c r="G1044" s="105"/>
      <c r="H1044" s="105">
        <v>97</v>
      </c>
      <c r="I1044" s="105">
        <v>22</v>
      </c>
      <c r="J1044" s="105">
        <v>1</v>
      </c>
      <c r="K1044" s="105">
        <v>11</v>
      </c>
      <c r="L1044" s="105"/>
      <c r="M1044" s="105"/>
      <c r="N1044" s="105"/>
      <c r="O1044" s="105"/>
      <c r="P1044" s="105"/>
      <c r="Q1044" s="105"/>
      <c r="R1044" s="105"/>
      <c r="S1044" s="105"/>
      <c r="T1044" s="106"/>
      <c r="U1044" s="130"/>
      <c r="V1044" s="1"/>
      <c r="W1044" s="68">
        <f t="shared" si="252"/>
        <v>0</v>
      </c>
      <c r="X1044" s="68">
        <f t="shared" si="253"/>
        <v>0</v>
      </c>
      <c r="Y1044" s="68">
        <f t="shared" si="254"/>
        <v>0</v>
      </c>
      <c r="Z1044" s="68">
        <f t="shared" si="255"/>
        <v>0</v>
      </c>
      <c r="AA1044" s="68"/>
      <c r="AB1044" s="68">
        <v>0</v>
      </c>
      <c r="AC1044" s="69">
        <f t="shared" si="256"/>
        <v>0</v>
      </c>
      <c r="AD1044" s="70">
        <v>0</v>
      </c>
      <c r="AE1044" s="63">
        <v>40508</v>
      </c>
      <c r="AF1044" s="72"/>
      <c r="AG1044" s="63" t="s">
        <v>938</v>
      </c>
      <c r="AH1044" s="23" t="s">
        <v>939</v>
      </c>
      <c r="AI1044" s="60"/>
      <c r="AJ1044" s="124" t="s">
        <v>1608</v>
      </c>
      <c r="AK1044" s="121" t="s">
        <v>2053</v>
      </c>
      <c r="AL1044" s="107"/>
      <c r="AM1044" s="108"/>
      <c r="AN1044" s="109"/>
      <c r="AO1044" s="108"/>
      <c r="AP1044" s="108"/>
      <c r="AQ1044" s="108"/>
      <c r="AR1044" s="108"/>
      <c r="AS1044" s="108"/>
      <c r="AT1044" s="108"/>
      <c r="AU1044" s="108"/>
      <c r="AV1044" s="108"/>
      <c r="AW1044" s="108"/>
      <c r="AX1044" s="108"/>
      <c r="AY1044" s="108"/>
      <c r="AZ1044" s="108"/>
      <c r="BA1044" s="108"/>
      <c r="BB1044" s="108"/>
      <c r="BC1044" s="108"/>
      <c r="BD1044" s="108"/>
      <c r="BE1044" s="108"/>
      <c r="BF1044" s="108"/>
      <c r="BG1044" s="108"/>
      <c r="BH1044" s="108"/>
      <c r="BI1044" s="108"/>
      <c r="BJ1044" s="108"/>
      <c r="BK1044" s="108"/>
      <c r="BL1044" s="108"/>
      <c r="BM1044" s="108"/>
      <c r="BN1044" s="108"/>
      <c r="BO1044" s="108"/>
      <c r="BP1044" s="108"/>
      <c r="BQ1044" s="108"/>
      <c r="BR1044" s="108"/>
      <c r="BS1044" s="108"/>
      <c r="BT1044" s="108"/>
      <c r="BU1044" s="108"/>
      <c r="BV1044" s="108"/>
      <c r="BW1044" s="108"/>
      <c r="BX1044" s="108"/>
      <c r="BY1044" s="108"/>
      <c r="BZ1044" s="108"/>
      <c r="CA1044" s="108"/>
      <c r="CB1044" s="108"/>
      <c r="CC1044" s="108"/>
      <c r="CD1044" s="108"/>
      <c r="CE1044" s="108"/>
      <c r="CF1044" s="108"/>
      <c r="CG1044" s="108"/>
      <c r="CH1044" s="108"/>
      <c r="CI1044" s="108"/>
      <c r="CJ1044" s="108"/>
      <c r="CK1044" s="108"/>
      <c r="CL1044" s="108"/>
      <c r="CM1044" s="108"/>
      <c r="CN1044" s="110"/>
      <c r="CO1044" s="111"/>
      <c r="CP1044" s="110"/>
      <c r="CQ1044" s="111"/>
      <c r="CR1044" s="110"/>
      <c r="CS1044" s="111"/>
      <c r="CT1044" s="112">
        <f t="shared" si="257"/>
        <v>0</v>
      </c>
      <c r="CU1044" s="113"/>
      <c r="CV1044" s="114"/>
      <c r="CW1044" s="115"/>
      <c r="CX1044" s="116"/>
      <c r="CY1044" s="117"/>
      <c r="CZ1044" s="116"/>
      <c r="DA1044" s="113"/>
      <c r="DB1044" s="114"/>
      <c r="DC1044" s="64"/>
      <c r="DD1044" s="118"/>
    </row>
    <row r="1045" spans="1:108" s="119" customFormat="1" ht="60" outlineLevel="2">
      <c r="A1045" s="178">
        <v>40499</v>
      </c>
      <c r="B1045" s="164" t="s">
        <v>1144</v>
      </c>
      <c r="C1045" s="164" t="s">
        <v>2294</v>
      </c>
      <c r="D1045" s="165" t="s">
        <v>1182</v>
      </c>
      <c r="E1045" s="163"/>
      <c r="F1045" s="105"/>
      <c r="G1045" s="105"/>
      <c r="H1045" s="105">
        <v>137</v>
      </c>
      <c r="I1045" s="105">
        <v>37</v>
      </c>
      <c r="J1045" s="105">
        <v>1</v>
      </c>
      <c r="K1045" s="105">
        <v>36</v>
      </c>
      <c r="L1045" s="105">
        <v>5</v>
      </c>
      <c r="M1045" s="105"/>
      <c r="N1045" s="105"/>
      <c r="O1045" s="105"/>
      <c r="P1045" s="105"/>
      <c r="Q1045" s="105"/>
      <c r="R1045" s="105"/>
      <c r="S1045" s="105"/>
      <c r="T1045" s="106"/>
      <c r="U1045" s="130"/>
      <c r="V1045" s="1"/>
      <c r="W1045" s="68">
        <f t="shared" si="252"/>
        <v>0</v>
      </c>
      <c r="X1045" s="68">
        <f t="shared" si="253"/>
        <v>0</v>
      </c>
      <c r="Y1045" s="68">
        <f t="shared" si="254"/>
        <v>0</v>
      </c>
      <c r="Z1045" s="68">
        <f t="shared" si="255"/>
        <v>0</v>
      </c>
      <c r="AA1045" s="68"/>
      <c r="AB1045" s="68">
        <v>0</v>
      </c>
      <c r="AC1045" s="69">
        <f t="shared" si="256"/>
        <v>0</v>
      </c>
      <c r="AD1045" s="70">
        <v>0</v>
      </c>
      <c r="AE1045" s="63">
        <v>40504</v>
      </c>
      <c r="AF1045" s="72"/>
      <c r="AG1045" s="63" t="s">
        <v>938</v>
      </c>
      <c r="AH1045" s="23" t="s">
        <v>939</v>
      </c>
      <c r="AI1045" s="60"/>
      <c r="AJ1045" s="124" t="s">
        <v>1608</v>
      </c>
      <c r="AK1045" s="121" t="s">
        <v>2158</v>
      </c>
      <c r="AL1045" s="107"/>
      <c r="AM1045" s="108"/>
      <c r="AN1045" s="109"/>
      <c r="AO1045" s="108"/>
      <c r="AP1045" s="108"/>
      <c r="AQ1045" s="108"/>
      <c r="AR1045" s="108"/>
      <c r="AS1045" s="108"/>
      <c r="AT1045" s="108"/>
      <c r="AU1045" s="108"/>
      <c r="AV1045" s="108"/>
      <c r="AW1045" s="108"/>
      <c r="AX1045" s="108"/>
      <c r="AY1045" s="108"/>
      <c r="AZ1045" s="108"/>
      <c r="BA1045" s="108"/>
      <c r="BB1045" s="108"/>
      <c r="BC1045" s="108"/>
      <c r="BD1045" s="108"/>
      <c r="BE1045" s="108"/>
      <c r="BF1045" s="108"/>
      <c r="BG1045" s="108"/>
      <c r="BH1045" s="108"/>
      <c r="BI1045" s="108"/>
      <c r="BJ1045" s="108"/>
      <c r="BK1045" s="108"/>
      <c r="BL1045" s="108"/>
      <c r="BM1045" s="108"/>
      <c r="BN1045" s="108"/>
      <c r="BO1045" s="108"/>
      <c r="BP1045" s="108"/>
      <c r="BQ1045" s="108"/>
      <c r="BR1045" s="108"/>
      <c r="BS1045" s="108"/>
      <c r="BT1045" s="108"/>
      <c r="BU1045" s="108"/>
      <c r="BV1045" s="108"/>
      <c r="BW1045" s="108"/>
      <c r="BX1045" s="108"/>
      <c r="BY1045" s="108"/>
      <c r="BZ1045" s="108"/>
      <c r="CA1045" s="108"/>
      <c r="CB1045" s="108"/>
      <c r="CC1045" s="108"/>
      <c r="CD1045" s="108"/>
      <c r="CE1045" s="108"/>
      <c r="CF1045" s="108"/>
      <c r="CG1045" s="108"/>
      <c r="CH1045" s="108"/>
      <c r="CI1045" s="108"/>
      <c r="CJ1045" s="108"/>
      <c r="CK1045" s="108"/>
      <c r="CL1045" s="108"/>
      <c r="CM1045" s="108"/>
      <c r="CN1045" s="110"/>
      <c r="CO1045" s="111"/>
      <c r="CP1045" s="110"/>
      <c r="CQ1045" s="111"/>
      <c r="CR1045" s="110"/>
      <c r="CS1045" s="111"/>
      <c r="CT1045" s="112">
        <f t="shared" si="257"/>
        <v>0</v>
      </c>
      <c r="CU1045" s="113"/>
      <c r="CV1045" s="114"/>
      <c r="CW1045" s="115"/>
      <c r="CX1045" s="116"/>
      <c r="CY1045" s="117"/>
      <c r="CZ1045" s="116"/>
      <c r="DA1045" s="113"/>
      <c r="DB1045" s="114"/>
      <c r="DC1045" s="64"/>
      <c r="DD1045" s="118"/>
    </row>
    <row r="1046" spans="1:108" s="119" customFormat="1" ht="48" outlineLevel="2">
      <c r="A1046" s="178">
        <v>40499</v>
      </c>
      <c r="B1046" s="164" t="s">
        <v>1144</v>
      </c>
      <c r="C1046" s="164" t="s">
        <v>649</v>
      </c>
      <c r="D1046" s="165" t="s">
        <v>1182</v>
      </c>
      <c r="E1046" s="163">
        <v>1</v>
      </c>
      <c r="F1046" s="105"/>
      <c r="G1046" s="105"/>
      <c r="H1046" s="105">
        <v>30</v>
      </c>
      <c r="I1046" s="105">
        <v>5</v>
      </c>
      <c r="J1046" s="105"/>
      <c r="K1046" s="105">
        <v>5</v>
      </c>
      <c r="L1046" s="105">
        <v>2</v>
      </c>
      <c r="M1046" s="105"/>
      <c r="N1046" s="105"/>
      <c r="O1046" s="105"/>
      <c r="P1046" s="105"/>
      <c r="Q1046" s="105"/>
      <c r="R1046" s="105"/>
      <c r="S1046" s="105"/>
      <c r="T1046" s="106"/>
      <c r="U1046" s="130"/>
      <c r="V1046" s="1"/>
      <c r="W1046" s="68">
        <f t="shared" si="252"/>
        <v>0</v>
      </c>
      <c r="X1046" s="68">
        <f t="shared" si="253"/>
        <v>0</v>
      </c>
      <c r="Y1046" s="68">
        <f t="shared" si="254"/>
        <v>0</v>
      </c>
      <c r="Z1046" s="68">
        <f t="shared" si="255"/>
        <v>0</v>
      </c>
      <c r="AA1046" s="68"/>
      <c r="AB1046" s="68">
        <v>0</v>
      </c>
      <c r="AC1046" s="69">
        <f t="shared" si="256"/>
        <v>0</v>
      </c>
      <c r="AD1046" s="70">
        <v>0</v>
      </c>
      <c r="AE1046" s="63">
        <v>40504</v>
      </c>
      <c r="AF1046" s="72"/>
      <c r="AG1046" s="63" t="s">
        <v>938</v>
      </c>
      <c r="AH1046" s="23" t="s">
        <v>939</v>
      </c>
      <c r="AI1046" s="60"/>
      <c r="AJ1046" s="124" t="s">
        <v>1608</v>
      </c>
      <c r="AK1046" s="121" t="s">
        <v>650</v>
      </c>
      <c r="AL1046" s="107"/>
      <c r="AM1046" s="108"/>
      <c r="AN1046" s="109"/>
      <c r="AO1046" s="108"/>
      <c r="AP1046" s="108"/>
      <c r="AQ1046" s="108"/>
      <c r="AR1046" s="108"/>
      <c r="AS1046" s="108"/>
      <c r="AT1046" s="108"/>
      <c r="AU1046" s="108"/>
      <c r="AV1046" s="108"/>
      <c r="AW1046" s="108"/>
      <c r="AX1046" s="108"/>
      <c r="AY1046" s="108"/>
      <c r="AZ1046" s="108"/>
      <c r="BA1046" s="108"/>
      <c r="BB1046" s="108"/>
      <c r="BC1046" s="108"/>
      <c r="BD1046" s="108"/>
      <c r="BE1046" s="108"/>
      <c r="BF1046" s="108"/>
      <c r="BG1046" s="108"/>
      <c r="BH1046" s="108"/>
      <c r="BI1046" s="108"/>
      <c r="BJ1046" s="108"/>
      <c r="BK1046" s="108"/>
      <c r="BL1046" s="108"/>
      <c r="BM1046" s="108"/>
      <c r="BN1046" s="108"/>
      <c r="BO1046" s="108"/>
      <c r="BP1046" s="108"/>
      <c r="BQ1046" s="108"/>
      <c r="BR1046" s="108"/>
      <c r="BS1046" s="108"/>
      <c r="BT1046" s="108"/>
      <c r="BU1046" s="108"/>
      <c r="BV1046" s="108"/>
      <c r="BW1046" s="108"/>
      <c r="BX1046" s="108"/>
      <c r="BY1046" s="108"/>
      <c r="BZ1046" s="108"/>
      <c r="CA1046" s="108"/>
      <c r="CB1046" s="108"/>
      <c r="CC1046" s="108"/>
      <c r="CD1046" s="108"/>
      <c r="CE1046" s="108"/>
      <c r="CF1046" s="108"/>
      <c r="CG1046" s="108"/>
      <c r="CH1046" s="108"/>
      <c r="CI1046" s="108"/>
      <c r="CJ1046" s="108"/>
      <c r="CK1046" s="108"/>
      <c r="CL1046" s="108"/>
      <c r="CM1046" s="108"/>
      <c r="CN1046" s="110"/>
      <c r="CO1046" s="111"/>
      <c r="CP1046" s="110"/>
      <c r="CQ1046" s="111"/>
      <c r="CR1046" s="110"/>
      <c r="CS1046" s="111"/>
      <c r="CT1046" s="112">
        <f t="shared" si="257"/>
        <v>0</v>
      </c>
      <c r="CU1046" s="113"/>
      <c r="CV1046" s="114"/>
      <c r="CW1046" s="115"/>
      <c r="CX1046" s="116"/>
      <c r="CY1046" s="117"/>
      <c r="CZ1046" s="116"/>
      <c r="DA1046" s="113"/>
      <c r="DB1046" s="114"/>
      <c r="DC1046" s="64"/>
      <c r="DD1046" s="118"/>
    </row>
    <row r="1047" spans="1:108" s="119" customFormat="1" ht="24" outlineLevel="2">
      <c r="A1047" s="178">
        <v>40500</v>
      </c>
      <c r="B1047" s="164" t="s">
        <v>1144</v>
      </c>
      <c r="C1047" s="164" t="s">
        <v>175</v>
      </c>
      <c r="D1047" s="166" t="s">
        <v>1182</v>
      </c>
      <c r="E1047" s="163"/>
      <c r="F1047" s="105"/>
      <c r="G1047" s="105"/>
      <c r="H1047" s="105"/>
      <c r="I1047" s="105"/>
      <c r="J1047" s="105"/>
      <c r="K1047" s="105"/>
      <c r="L1047" s="105">
        <v>6</v>
      </c>
      <c r="M1047" s="105">
        <v>1</v>
      </c>
      <c r="N1047" s="105"/>
      <c r="O1047" s="105"/>
      <c r="P1047" s="105"/>
      <c r="Q1047" s="105"/>
      <c r="R1047" s="105"/>
      <c r="S1047" s="105"/>
      <c r="T1047" s="106"/>
      <c r="U1047" s="130"/>
      <c r="V1047" s="1"/>
      <c r="W1047" s="68">
        <f t="shared" si="252"/>
        <v>0</v>
      </c>
      <c r="X1047" s="68">
        <f t="shared" si="253"/>
        <v>0</v>
      </c>
      <c r="Y1047" s="68">
        <f t="shared" si="254"/>
        <v>0</v>
      </c>
      <c r="Z1047" s="68">
        <f t="shared" si="255"/>
        <v>0</v>
      </c>
      <c r="AA1047" s="68"/>
      <c r="AB1047" s="68">
        <v>0</v>
      </c>
      <c r="AC1047" s="69">
        <f t="shared" si="256"/>
        <v>0</v>
      </c>
      <c r="AD1047" s="70">
        <v>0</v>
      </c>
      <c r="AE1047" s="63"/>
      <c r="AF1047" s="72"/>
      <c r="AG1047" s="63"/>
      <c r="AH1047" s="23"/>
      <c r="AI1047" s="60"/>
      <c r="AJ1047" s="124"/>
      <c r="AK1047" s="121" t="s">
        <v>176</v>
      </c>
      <c r="AL1047" s="107"/>
      <c r="AM1047" s="108"/>
      <c r="AN1047" s="109"/>
      <c r="AO1047" s="108"/>
      <c r="AP1047" s="108"/>
      <c r="AQ1047" s="108"/>
      <c r="AR1047" s="108"/>
      <c r="AS1047" s="108"/>
      <c r="AT1047" s="108"/>
      <c r="AU1047" s="108"/>
      <c r="AV1047" s="108"/>
      <c r="AW1047" s="108"/>
      <c r="AX1047" s="108"/>
      <c r="AY1047" s="108"/>
      <c r="AZ1047" s="108"/>
      <c r="BA1047" s="108"/>
      <c r="BB1047" s="108"/>
      <c r="BC1047" s="108"/>
      <c r="BD1047" s="108"/>
      <c r="BE1047" s="108"/>
      <c r="BF1047" s="108"/>
      <c r="BG1047" s="108"/>
      <c r="BH1047" s="108"/>
      <c r="BI1047" s="108"/>
      <c r="BJ1047" s="108"/>
      <c r="BK1047" s="108"/>
      <c r="BL1047" s="108"/>
      <c r="BM1047" s="108"/>
      <c r="BN1047" s="108"/>
      <c r="BO1047" s="108"/>
      <c r="BP1047" s="108"/>
      <c r="BQ1047" s="108"/>
      <c r="BR1047" s="108"/>
      <c r="BS1047" s="108"/>
      <c r="BT1047" s="108"/>
      <c r="BU1047" s="108"/>
      <c r="BV1047" s="108"/>
      <c r="BW1047" s="108"/>
      <c r="BX1047" s="108"/>
      <c r="BY1047" s="108"/>
      <c r="BZ1047" s="108"/>
      <c r="CA1047" s="108"/>
      <c r="CB1047" s="108"/>
      <c r="CC1047" s="108"/>
      <c r="CD1047" s="108"/>
      <c r="CE1047" s="108"/>
      <c r="CF1047" s="108"/>
      <c r="CG1047" s="108"/>
      <c r="CH1047" s="108"/>
      <c r="CI1047" s="108"/>
      <c r="CJ1047" s="108"/>
      <c r="CK1047" s="108"/>
      <c r="CL1047" s="108"/>
      <c r="CM1047" s="108"/>
      <c r="CN1047" s="110"/>
      <c r="CO1047" s="111"/>
      <c r="CP1047" s="110"/>
      <c r="CQ1047" s="111"/>
      <c r="CR1047" s="110"/>
      <c r="CS1047" s="111"/>
      <c r="CT1047" s="112">
        <f t="shared" si="257"/>
        <v>0</v>
      </c>
      <c r="CU1047" s="113"/>
      <c r="CV1047" s="114"/>
      <c r="CW1047" s="115"/>
      <c r="CX1047" s="116"/>
      <c r="CY1047" s="117"/>
      <c r="CZ1047" s="116"/>
      <c r="DA1047" s="113"/>
      <c r="DB1047" s="114"/>
      <c r="DC1047" s="64"/>
      <c r="DD1047" s="118"/>
    </row>
    <row r="1048" spans="1:108" s="119" customFormat="1" ht="16.5" outlineLevel="2">
      <c r="A1048" s="178">
        <v>40501</v>
      </c>
      <c r="B1048" s="164" t="s">
        <v>1144</v>
      </c>
      <c r="C1048" s="164" t="s">
        <v>2189</v>
      </c>
      <c r="D1048" s="166" t="s">
        <v>1182</v>
      </c>
      <c r="E1048" s="163">
        <v>1</v>
      </c>
      <c r="F1048" s="105"/>
      <c r="G1048" s="105"/>
      <c r="H1048" s="105"/>
      <c r="I1048" s="105"/>
      <c r="J1048" s="105"/>
      <c r="K1048" s="105"/>
      <c r="L1048" s="105">
        <v>1</v>
      </c>
      <c r="M1048" s="105"/>
      <c r="N1048" s="105"/>
      <c r="O1048" s="105"/>
      <c r="P1048" s="105"/>
      <c r="Q1048" s="105"/>
      <c r="R1048" s="105"/>
      <c r="S1048" s="105"/>
      <c r="T1048" s="106"/>
      <c r="U1048" s="130" t="s">
        <v>2190</v>
      </c>
      <c r="V1048" s="1"/>
      <c r="W1048" s="68">
        <f t="shared" si="252"/>
        <v>0</v>
      </c>
      <c r="X1048" s="68">
        <f t="shared" si="253"/>
        <v>0</v>
      </c>
      <c r="Y1048" s="68">
        <f t="shared" si="254"/>
        <v>0</v>
      </c>
      <c r="Z1048" s="68">
        <f t="shared" si="255"/>
        <v>0</v>
      </c>
      <c r="AA1048" s="68"/>
      <c r="AB1048" s="68">
        <v>0</v>
      </c>
      <c r="AC1048" s="69">
        <f t="shared" si="256"/>
        <v>0</v>
      </c>
      <c r="AD1048" s="70">
        <v>0</v>
      </c>
      <c r="AE1048" s="63"/>
      <c r="AF1048" s="72"/>
      <c r="AG1048" s="63"/>
      <c r="AH1048" s="23"/>
      <c r="AI1048" s="60"/>
      <c r="AJ1048" s="124"/>
      <c r="AK1048" s="121" t="s">
        <v>1051</v>
      </c>
      <c r="AL1048" s="107"/>
      <c r="AM1048" s="108"/>
      <c r="AN1048" s="109"/>
      <c r="AO1048" s="108"/>
      <c r="AP1048" s="108"/>
      <c r="AQ1048" s="108"/>
      <c r="AR1048" s="108"/>
      <c r="AS1048" s="108"/>
      <c r="AT1048" s="108"/>
      <c r="AU1048" s="108"/>
      <c r="AV1048" s="108"/>
      <c r="AW1048" s="108"/>
      <c r="AX1048" s="108"/>
      <c r="AY1048" s="108"/>
      <c r="AZ1048" s="108"/>
      <c r="BA1048" s="108"/>
      <c r="BB1048" s="108"/>
      <c r="BC1048" s="108"/>
      <c r="BD1048" s="108"/>
      <c r="BE1048" s="108"/>
      <c r="BF1048" s="108"/>
      <c r="BG1048" s="108"/>
      <c r="BH1048" s="108"/>
      <c r="BI1048" s="108"/>
      <c r="BJ1048" s="108"/>
      <c r="BK1048" s="108"/>
      <c r="BL1048" s="108"/>
      <c r="BM1048" s="108"/>
      <c r="BN1048" s="108"/>
      <c r="BO1048" s="108"/>
      <c r="BP1048" s="108"/>
      <c r="BQ1048" s="108"/>
      <c r="BR1048" s="108"/>
      <c r="BS1048" s="108"/>
      <c r="BT1048" s="108"/>
      <c r="BU1048" s="108"/>
      <c r="BV1048" s="108"/>
      <c r="BW1048" s="108"/>
      <c r="BX1048" s="108"/>
      <c r="BY1048" s="108"/>
      <c r="BZ1048" s="108"/>
      <c r="CA1048" s="108"/>
      <c r="CB1048" s="108"/>
      <c r="CC1048" s="108"/>
      <c r="CD1048" s="108"/>
      <c r="CE1048" s="108"/>
      <c r="CF1048" s="108"/>
      <c r="CG1048" s="108"/>
      <c r="CH1048" s="108"/>
      <c r="CI1048" s="108"/>
      <c r="CJ1048" s="108"/>
      <c r="CK1048" s="108"/>
      <c r="CL1048" s="108"/>
      <c r="CM1048" s="108"/>
      <c r="CN1048" s="110"/>
      <c r="CO1048" s="111"/>
      <c r="CP1048" s="110"/>
      <c r="CQ1048" s="111"/>
      <c r="CR1048" s="110"/>
      <c r="CS1048" s="111"/>
      <c r="CT1048" s="112">
        <f t="shared" si="257"/>
        <v>0</v>
      </c>
      <c r="CU1048" s="113"/>
      <c r="CV1048" s="114"/>
      <c r="CW1048" s="115"/>
      <c r="CX1048" s="116"/>
      <c r="CY1048" s="117"/>
      <c r="CZ1048" s="116"/>
      <c r="DA1048" s="113"/>
      <c r="DB1048" s="114"/>
      <c r="DC1048" s="64"/>
      <c r="DD1048" s="118"/>
    </row>
    <row r="1049" spans="1:108" s="119" customFormat="1" ht="156" outlineLevel="2">
      <c r="A1049" s="178">
        <v>40503</v>
      </c>
      <c r="B1049" s="164" t="s">
        <v>1144</v>
      </c>
      <c r="C1049" s="164" t="s">
        <v>345</v>
      </c>
      <c r="D1049" s="166" t="s">
        <v>1182</v>
      </c>
      <c r="E1049" s="163"/>
      <c r="F1049" s="105"/>
      <c r="G1049" s="105"/>
      <c r="H1049" s="105">
        <v>100</v>
      </c>
      <c r="I1049" s="105">
        <v>25</v>
      </c>
      <c r="J1049" s="105"/>
      <c r="K1049" s="105">
        <v>25</v>
      </c>
      <c r="L1049" s="105">
        <v>11</v>
      </c>
      <c r="M1049" s="105"/>
      <c r="N1049" s="105"/>
      <c r="O1049" s="105"/>
      <c r="P1049" s="105"/>
      <c r="Q1049" s="105"/>
      <c r="R1049" s="105"/>
      <c r="S1049" s="105"/>
      <c r="T1049" s="106"/>
      <c r="U1049" s="130"/>
      <c r="V1049" s="1"/>
      <c r="W1049" s="68">
        <f t="shared" ref="W1049:W1070" si="258">CT1049</f>
        <v>0</v>
      </c>
      <c r="X1049" s="68">
        <f t="shared" ref="X1049:X1070" si="259">CX1049</f>
        <v>0</v>
      </c>
      <c r="Y1049" s="68">
        <f t="shared" ref="Y1049:Y1070" si="260">CZ1049+DB1049</f>
        <v>0</v>
      </c>
      <c r="Z1049" s="68">
        <f t="shared" ref="Z1049:Z1070" si="261">CV1049</f>
        <v>0</v>
      </c>
      <c r="AA1049" s="68"/>
      <c r="AB1049" s="68">
        <v>0</v>
      </c>
      <c r="AC1049" s="69">
        <f t="shared" ref="AC1049:AC1070" si="262">W1049+X1049+Y1049+Z1049+AA1049+AB1049</f>
        <v>0</v>
      </c>
      <c r="AD1049" s="70">
        <v>0</v>
      </c>
      <c r="AE1049" s="63">
        <v>40508</v>
      </c>
      <c r="AF1049" s="72"/>
      <c r="AG1049" s="63" t="s">
        <v>938</v>
      </c>
      <c r="AH1049" s="23" t="s">
        <v>939</v>
      </c>
      <c r="AI1049" s="60"/>
      <c r="AJ1049" s="124" t="s">
        <v>1608</v>
      </c>
      <c r="AK1049" s="121" t="s">
        <v>346</v>
      </c>
      <c r="AL1049" s="107"/>
      <c r="AM1049" s="108"/>
      <c r="AN1049" s="109"/>
      <c r="AO1049" s="108"/>
      <c r="AP1049" s="108"/>
      <c r="AQ1049" s="108"/>
      <c r="AR1049" s="108"/>
      <c r="AS1049" s="108"/>
      <c r="AT1049" s="108"/>
      <c r="AU1049" s="108"/>
      <c r="AV1049" s="108"/>
      <c r="AW1049" s="108"/>
      <c r="AX1049" s="108"/>
      <c r="AY1049" s="108"/>
      <c r="AZ1049" s="108"/>
      <c r="BA1049" s="108"/>
      <c r="BB1049" s="108"/>
      <c r="BC1049" s="108"/>
      <c r="BD1049" s="108"/>
      <c r="BE1049" s="108"/>
      <c r="BF1049" s="108"/>
      <c r="BG1049" s="108"/>
      <c r="BH1049" s="108"/>
      <c r="BI1049" s="108"/>
      <c r="BJ1049" s="108"/>
      <c r="BK1049" s="108"/>
      <c r="BL1049" s="108"/>
      <c r="BM1049" s="108"/>
      <c r="BN1049" s="108"/>
      <c r="BO1049" s="108"/>
      <c r="BP1049" s="108"/>
      <c r="BQ1049" s="108"/>
      <c r="BR1049" s="108"/>
      <c r="BS1049" s="108"/>
      <c r="BT1049" s="108"/>
      <c r="BU1049" s="108"/>
      <c r="BV1049" s="108"/>
      <c r="BW1049" s="108"/>
      <c r="BX1049" s="108"/>
      <c r="BY1049" s="108"/>
      <c r="BZ1049" s="108"/>
      <c r="CA1049" s="108"/>
      <c r="CB1049" s="108"/>
      <c r="CC1049" s="108"/>
      <c r="CD1049" s="108"/>
      <c r="CE1049" s="108"/>
      <c r="CF1049" s="108"/>
      <c r="CG1049" s="108"/>
      <c r="CH1049" s="108"/>
      <c r="CI1049" s="108"/>
      <c r="CJ1049" s="108"/>
      <c r="CK1049" s="108"/>
      <c r="CL1049" s="108"/>
      <c r="CM1049" s="108"/>
      <c r="CN1049" s="110"/>
      <c r="CO1049" s="111"/>
      <c r="CP1049" s="110"/>
      <c r="CQ1049" s="111"/>
      <c r="CR1049" s="110"/>
      <c r="CS1049" s="111"/>
      <c r="CT1049" s="112">
        <f t="shared" ref="CT1049:CT1070" si="263">AM1049+AO1049+AQ1049+AS1049+AU1049+AW1049+AY1049+BA1049+BC1049+BE1049+BG1049+BI1049+BK1049+BM1049+BO1049+BQ1049+BS1049+BU1049+BW1049+BY1049+CA1049+CC1049+CE1049+CG1049+CI1049+CK1049+CM1049+CO1049+CQ1049+CS1049</f>
        <v>0</v>
      </c>
      <c r="CU1049" s="113"/>
      <c r="CV1049" s="114"/>
      <c r="CW1049" s="115"/>
      <c r="CX1049" s="116"/>
      <c r="CY1049" s="117"/>
      <c r="CZ1049" s="116"/>
      <c r="DA1049" s="113"/>
      <c r="DB1049" s="114"/>
      <c r="DC1049" s="64"/>
      <c r="DD1049" s="118"/>
    </row>
    <row r="1050" spans="1:108" s="119" customFormat="1" ht="36" outlineLevel="2">
      <c r="A1050" s="178">
        <v>40504</v>
      </c>
      <c r="B1050" s="164" t="s">
        <v>1144</v>
      </c>
      <c r="C1050" s="164" t="s">
        <v>177</v>
      </c>
      <c r="D1050" s="166" t="s">
        <v>1182</v>
      </c>
      <c r="E1050" s="163"/>
      <c r="F1050" s="105"/>
      <c r="G1050" s="105"/>
      <c r="H1050" s="105"/>
      <c r="I1050" s="105"/>
      <c r="J1050" s="105"/>
      <c r="K1050" s="105"/>
      <c r="L1050" s="105">
        <v>3</v>
      </c>
      <c r="M1050" s="105"/>
      <c r="N1050" s="105"/>
      <c r="O1050" s="105"/>
      <c r="P1050" s="105"/>
      <c r="Q1050" s="105"/>
      <c r="R1050" s="105"/>
      <c r="S1050" s="105"/>
      <c r="T1050" s="106"/>
      <c r="U1050" s="130"/>
      <c r="V1050" s="1"/>
      <c r="W1050" s="68">
        <f t="shared" si="258"/>
        <v>0</v>
      </c>
      <c r="X1050" s="68">
        <f t="shared" si="259"/>
        <v>0</v>
      </c>
      <c r="Y1050" s="68">
        <f t="shared" si="260"/>
        <v>0</v>
      </c>
      <c r="Z1050" s="68">
        <f t="shared" si="261"/>
        <v>0</v>
      </c>
      <c r="AA1050" s="68"/>
      <c r="AB1050" s="68">
        <v>0</v>
      </c>
      <c r="AC1050" s="69">
        <f t="shared" si="262"/>
        <v>0</v>
      </c>
      <c r="AD1050" s="70">
        <v>0</v>
      </c>
      <c r="AE1050" s="63"/>
      <c r="AF1050" s="72"/>
      <c r="AG1050" s="63"/>
      <c r="AH1050" s="23"/>
      <c r="AI1050" s="60"/>
      <c r="AJ1050" s="124"/>
      <c r="AK1050" s="121" t="s">
        <v>178</v>
      </c>
      <c r="AL1050" s="107"/>
      <c r="AM1050" s="108"/>
      <c r="AN1050" s="109"/>
      <c r="AO1050" s="108"/>
      <c r="AP1050" s="108"/>
      <c r="AQ1050" s="108"/>
      <c r="AR1050" s="108"/>
      <c r="AS1050" s="108"/>
      <c r="AT1050" s="108"/>
      <c r="AU1050" s="108"/>
      <c r="AV1050" s="108"/>
      <c r="AW1050" s="108"/>
      <c r="AX1050" s="108"/>
      <c r="AY1050" s="108"/>
      <c r="AZ1050" s="108"/>
      <c r="BA1050" s="108"/>
      <c r="BB1050" s="108"/>
      <c r="BC1050" s="108"/>
      <c r="BD1050" s="108"/>
      <c r="BE1050" s="108"/>
      <c r="BF1050" s="108"/>
      <c r="BG1050" s="108"/>
      <c r="BH1050" s="108"/>
      <c r="BI1050" s="108"/>
      <c r="BJ1050" s="108"/>
      <c r="BK1050" s="108"/>
      <c r="BL1050" s="108"/>
      <c r="BM1050" s="108"/>
      <c r="BN1050" s="108"/>
      <c r="BO1050" s="108"/>
      <c r="BP1050" s="108"/>
      <c r="BQ1050" s="108"/>
      <c r="BR1050" s="108"/>
      <c r="BS1050" s="108"/>
      <c r="BT1050" s="108"/>
      <c r="BU1050" s="108"/>
      <c r="BV1050" s="108"/>
      <c r="BW1050" s="108"/>
      <c r="BX1050" s="108"/>
      <c r="BY1050" s="108"/>
      <c r="BZ1050" s="108"/>
      <c r="CA1050" s="108"/>
      <c r="CB1050" s="108"/>
      <c r="CC1050" s="108"/>
      <c r="CD1050" s="108"/>
      <c r="CE1050" s="108"/>
      <c r="CF1050" s="108"/>
      <c r="CG1050" s="108"/>
      <c r="CH1050" s="108"/>
      <c r="CI1050" s="108"/>
      <c r="CJ1050" s="108"/>
      <c r="CK1050" s="108"/>
      <c r="CL1050" s="108"/>
      <c r="CM1050" s="108"/>
      <c r="CN1050" s="110"/>
      <c r="CO1050" s="111"/>
      <c r="CP1050" s="110"/>
      <c r="CQ1050" s="111"/>
      <c r="CR1050" s="110"/>
      <c r="CS1050" s="111"/>
      <c r="CT1050" s="112">
        <f t="shared" si="263"/>
        <v>0</v>
      </c>
      <c r="CU1050" s="113"/>
      <c r="CV1050" s="114"/>
      <c r="CW1050" s="115"/>
      <c r="CX1050" s="116"/>
      <c r="CY1050" s="117"/>
      <c r="CZ1050" s="116"/>
      <c r="DA1050" s="113"/>
      <c r="DB1050" s="114"/>
      <c r="DC1050" s="64"/>
      <c r="DD1050" s="118"/>
    </row>
    <row r="1051" spans="1:108" s="119" customFormat="1" ht="216" outlineLevel="2">
      <c r="A1051" s="178">
        <v>40504</v>
      </c>
      <c r="B1051" s="164" t="s">
        <v>1144</v>
      </c>
      <c r="C1051" s="164" t="s">
        <v>1390</v>
      </c>
      <c r="D1051" s="166" t="s">
        <v>1182</v>
      </c>
      <c r="E1051" s="163"/>
      <c r="F1051" s="105"/>
      <c r="G1051" s="105"/>
      <c r="H1051" s="105">
        <v>200</v>
      </c>
      <c r="I1051" s="105">
        <v>50</v>
      </c>
      <c r="J1051" s="105"/>
      <c r="K1051" s="105">
        <v>50</v>
      </c>
      <c r="L1051" s="105">
        <v>18</v>
      </c>
      <c r="M1051" s="105"/>
      <c r="N1051" s="105"/>
      <c r="O1051" s="105">
        <v>4</v>
      </c>
      <c r="P1051" s="105"/>
      <c r="Q1051" s="105"/>
      <c r="R1051" s="105"/>
      <c r="S1051" s="105"/>
      <c r="T1051" s="106"/>
      <c r="U1051" s="130"/>
      <c r="V1051" s="1"/>
      <c r="W1051" s="68">
        <f t="shared" si="258"/>
        <v>0</v>
      </c>
      <c r="X1051" s="68">
        <f t="shared" si="259"/>
        <v>0</v>
      </c>
      <c r="Y1051" s="68">
        <f t="shared" si="260"/>
        <v>0</v>
      </c>
      <c r="Z1051" s="68">
        <f t="shared" si="261"/>
        <v>0</v>
      </c>
      <c r="AA1051" s="68"/>
      <c r="AB1051" s="68">
        <v>0</v>
      </c>
      <c r="AC1051" s="69">
        <f t="shared" si="262"/>
        <v>0</v>
      </c>
      <c r="AD1051" s="70">
        <v>0</v>
      </c>
      <c r="AE1051" s="63">
        <v>40508</v>
      </c>
      <c r="AF1051" s="72"/>
      <c r="AG1051" s="63" t="s">
        <v>938</v>
      </c>
      <c r="AH1051" s="23" t="s">
        <v>939</v>
      </c>
      <c r="AI1051" s="60"/>
      <c r="AJ1051" s="124" t="s">
        <v>1608</v>
      </c>
      <c r="AK1051" s="121" t="s">
        <v>339</v>
      </c>
      <c r="AL1051" s="107"/>
      <c r="AM1051" s="108"/>
      <c r="AN1051" s="109"/>
      <c r="AO1051" s="108"/>
      <c r="AP1051" s="108"/>
      <c r="AQ1051" s="108"/>
      <c r="AR1051" s="108"/>
      <c r="AS1051" s="108"/>
      <c r="AT1051" s="108"/>
      <c r="AU1051" s="108"/>
      <c r="AV1051" s="108"/>
      <c r="AW1051" s="108"/>
      <c r="AX1051" s="108"/>
      <c r="AY1051" s="108"/>
      <c r="AZ1051" s="108"/>
      <c r="BA1051" s="108"/>
      <c r="BB1051" s="108"/>
      <c r="BC1051" s="108"/>
      <c r="BD1051" s="108"/>
      <c r="BE1051" s="108"/>
      <c r="BF1051" s="108"/>
      <c r="BG1051" s="108"/>
      <c r="BH1051" s="108"/>
      <c r="BI1051" s="108"/>
      <c r="BJ1051" s="108"/>
      <c r="BK1051" s="108"/>
      <c r="BL1051" s="108"/>
      <c r="BM1051" s="108"/>
      <c r="BN1051" s="108"/>
      <c r="BO1051" s="108"/>
      <c r="BP1051" s="108"/>
      <c r="BQ1051" s="108"/>
      <c r="BR1051" s="108"/>
      <c r="BS1051" s="108"/>
      <c r="BT1051" s="108"/>
      <c r="BU1051" s="108"/>
      <c r="BV1051" s="108"/>
      <c r="BW1051" s="108"/>
      <c r="BX1051" s="108"/>
      <c r="BY1051" s="108"/>
      <c r="BZ1051" s="108"/>
      <c r="CA1051" s="108"/>
      <c r="CB1051" s="108"/>
      <c r="CC1051" s="108"/>
      <c r="CD1051" s="108"/>
      <c r="CE1051" s="108"/>
      <c r="CF1051" s="108"/>
      <c r="CG1051" s="108"/>
      <c r="CH1051" s="108"/>
      <c r="CI1051" s="108"/>
      <c r="CJ1051" s="108"/>
      <c r="CK1051" s="108"/>
      <c r="CL1051" s="108"/>
      <c r="CM1051" s="108"/>
      <c r="CN1051" s="110"/>
      <c r="CO1051" s="111"/>
      <c r="CP1051" s="110"/>
      <c r="CQ1051" s="111"/>
      <c r="CR1051" s="110"/>
      <c r="CS1051" s="111"/>
      <c r="CT1051" s="112">
        <f t="shared" si="263"/>
        <v>0</v>
      </c>
      <c r="CU1051" s="113"/>
      <c r="CV1051" s="114"/>
      <c r="CW1051" s="115"/>
      <c r="CX1051" s="116"/>
      <c r="CY1051" s="117"/>
      <c r="CZ1051" s="116"/>
      <c r="DA1051" s="113"/>
      <c r="DB1051" s="114"/>
      <c r="DC1051" s="64"/>
      <c r="DD1051" s="118"/>
    </row>
    <row r="1052" spans="1:108" s="119" customFormat="1" ht="24" outlineLevel="2">
      <c r="A1052" s="178">
        <v>40505</v>
      </c>
      <c r="B1052" s="164" t="s">
        <v>1144</v>
      </c>
      <c r="C1052" s="164" t="s">
        <v>310</v>
      </c>
      <c r="D1052" s="165" t="s">
        <v>1182</v>
      </c>
      <c r="E1052" s="163"/>
      <c r="F1052" s="105"/>
      <c r="G1052" s="105"/>
      <c r="H1052" s="105">
        <v>40</v>
      </c>
      <c r="I1052" s="105">
        <v>10</v>
      </c>
      <c r="J1052" s="105"/>
      <c r="K1052" s="105">
        <v>10</v>
      </c>
      <c r="L1052" s="105"/>
      <c r="M1052" s="105"/>
      <c r="N1052" s="105"/>
      <c r="O1052" s="105"/>
      <c r="P1052" s="105"/>
      <c r="Q1052" s="105"/>
      <c r="R1052" s="105"/>
      <c r="S1052" s="105"/>
      <c r="T1052" s="106"/>
      <c r="U1052" s="130"/>
      <c r="V1052" s="1"/>
      <c r="W1052" s="68">
        <f t="shared" si="258"/>
        <v>0</v>
      </c>
      <c r="X1052" s="68">
        <f t="shared" si="259"/>
        <v>0</v>
      </c>
      <c r="Y1052" s="68">
        <f t="shared" si="260"/>
        <v>0</v>
      </c>
      <c r="Z1052" s="68">
        <f t="shared" si="261"/>
        <v>0</v>
      </c>
      <c r="AA1052" s="68"/>
      <c r="AB1052" s="68">
        <v>0</v>
      </c>
      <c r="AC1052" s="69">
        <f t="shared" si="262"/>
        <v>0</v>
      </c>
      <c r="AD1052" s="70">
        <v>0</v>
      </c>
      <c r="AE1052" s="63">
        <v>40506</v>
      </c>
      <c r="AF1052" s="72"/>
      <c r="AG1052" s="63" t="s">
        <v>938</v>
      </c>
      <c r="AH1052" s="23" t="s">
        <v>939</v>
      </c>
      <c r="AI1052" s="60"/>
      <c r="AJ1052" s="124" t="s">
        <v>1608</v>
      </c>
      <c r="AK1052" s="121" t="s">
        <v>311</v>
      </c>
      <c r="AL1052" s="107"/>
      <c r="AM1052" s="108"/>
      <c r="AN1052" s="109"/>
      <c r="AO1052" s="108"/>
      <c r="AP1052" s="108"/>
      <c r="AQ1052" s="108"/>
      <c r="AR1052" s="108"/>
      <c r="AS1052" s="108"/>
      <c r="AT1052" s="108"/>
      <c r="AU1052" s="108"/>
      <c r="AV1052" s="108"/>
      <c r="AW1052" s="108"/>
      <c r="AX1052" s="108"/>
      <c r="AY1052" s="108"/>
      <c r="AZ1052" s="108"/>
      <c r="BA1052" s="108"/>
      <c r="BB1052" s="108"/>
      <c r="BC1052" s="108"/>
      <c r="BD1052" s="108"/>
      <c r="BE1052" s="108"/>
      <c r="BF1052" s="108"/>
      <c r="BG1052" s="108"/>
      <c r="BH1052" s="108"/>
      <c r="BI1052" s="108"/>
      <c r="BJ1052" s="108"/>
      <c r="BK1052" s="108"/>
      <c r="BL1052" s="108"/>
      <c r="BM1052" s="108"/>
      <c r="BN1052" s="108"/>
      <c r="BO1052" s="108"/>
      <c r="BP1052" s="108"/>
      <c r="BQ1052" s="108"/>
      <c r="BR1052" s="108"/>
      <c r="BS1052" s="108"/>
      <c r="BT1052" s="108"/>
      <c r="BU1052" s="108"/>
      <c r="BV1052" s="108"/>
      <c r="BW1052" s="108"/>
      <c r="BX1052" s="108"/>
      <c r="BY1052" s="108"/>
      <c r="BZ1052" s="108"/>
      <c r="CA1052" s="108"/>
      <c r="CB1052" s="108"/>
      <c r="CC1052" s="108"/>
      <c r="CD1052" s="108"/>
      <c r="CE1052" s="108"/>
      <c r="CF1052" s="108"/>
      <c r="CG1052" s="108"/>
      <c r="CH1052" s="108"/>
      <c r="CI1052" s="108"/>
      <c r="CJ1052" s="108"/>
      <c r="CK1052" s="108"/>
      <c r="CL1052" s="108"/>
      <c r="CM1052" s="108"/>
      <c r="CN1052" s="110"/>
      <c r="CO1052" s="111"/>
      <c r="CP1052" s="110"/>
      <c r="CQ1052" s="111"/>
      <c r="CR1052" s="110"/>
      <c r="CS1052" s="111"/>
      <c r="CT1052" s="112">
        <f t="shared" si="263"/>
        <v>0</v>
      </c>
      <c r="CU1052" s="113"/>
      <c r="CV1052" s="114"/>
      <c r="CW1052" s="115"/>
      <c r="CX1052" s="116"/>
      <c r="CY1052" s="117"/>
      <c r="CZ1052" s="116"/>
      <c r="DA1052" s="113"/>
      <c r="DB1052" s="114"/>
      <c r="DC1052" s="64"/>
      <c r="DD1052" s="118"/>
    </row>
    <row r="1053" spans="1:108" s="119" customFormat="1" ht="36" outlineLevel="2">
      <c r="A1053" s="178">
        <v>40505</v>
      </c>
      <c r="B1053" s="164" t="s">
        <v>1144</v>
      </c>
      <c r="C1053" s="164" t="s">
        <v>312</v>
      </c>
      <c r="D1053" s="165" t="s">
        <v>1182</v>
      </c>
      <c r="E1053" s="163"/>
      <c r="F1053" s="105"/>
      <c r="G1053" s="105"/>
      <c r="H1053" s="105">
        <v>215</v>
      </c>
      <c r="I1053" s="105">
        <v>67</v>
      </c>
      <c r="J1053" s="105"/>
      <c r="K1053" s="105">
        <v>67</v>
      </c>
      <c r="L1053" s="105"/>
      <c r="M1053" s="105"/>
      <c r="N1053" s="105"/>
      <c r="O1053" s="105"/>
      <c r="P1053" s="105"/>
      <c r="Q1053" s="105"/>
      <c r="R1053" s="105"/>
      <c r="S1053" s="105"/>
      <c r="T1053" s="106"/>
      <c r="U1053" s="130"/>
      <c r="V1053" s="1"/>
      <c r="W1053" s="68">
        <f t="shared" si="258"/>
        <v>0</v>
      </c>
      <c r="X1053" s="68">
        <f t="shared" si="259"/>
        <v>0</v>
      </c>
      <c r="Y1053" s="68">
        <f t="shared" si="260"/>
        <v>0</v>
      </c>
      <c r="Z1053" s="68">
        <f t="shared" si="261"/>
        <v>0</v>
      </c>
      <c r="AA1053" s="68"/>
      <c r="AB1053" s="68">
        <v>0</v>
      </c>
      <c r="AC1053" s="69">
        <f t="shared" si="262"/>
        <v>0</v>
      </c>
      <c r="AD1053" s="70">
        <v>0</v>
      </c>
      <c r="AE1053" s="63">
        <v>40506</v>
      </c>
      <c r="AF1053" s="72"/>
      <c r="AG1053" s="63" t="s">
        <v>938</v>
      </c>
      <c r="AH1053" s="23" t="s">
        <v>939</v>
      </c>
      <c r="AI1053" s="60"/>
      <c r="AJ1053" s="124" t="s">
        <v>1608</v>
      </c>
      <c r="AK1053" s="121" t="s">
        <v>313</v>
      </c>
      <c r="AL1053" s="107"/>
      <c r="AM1053" s="108"/>
      <c r="AN1053" s="109"/>
      <c r="AO1053" s="108"/>
      <c r="AP1053" s="108"/>
      <c r="AQ1053" s="108"/>
      <c r="AR1053" s="108"/>
      <c r="AS1053" s="108"/>
      <c r="AT1053" s="108"/>
      <c r="AU1053" s="108"/>
      <c r="AV1053" s="108"/>
      <c r="AW1053" s="108"/>
      <c r="AX1053" s="108"/>
      <c r="AY1053" s="108"/>
      <c r="AZ1053" s="108"/>
      <c r="BA1053" s="108"/>
      <c r="BB1053" s="108"/>
      <c r="BC1053" s="108"/>
      <c r="BD1053" s="108"/>
      <c r="BE1053" s="108"/>
      <c r="BF1053" s="108"/>
      <c r="BG1053" s="108"/>
      <c r="BH1053" s="108"/>
      <c r="BI1053" s="108"/>
      <c r="BJ1053" s="108"/>
      <c r="BK1053" s="108"/>
      <c r="BL1053" s="108"/>
      <c r="BM1053" s="108"/>
      <c r="BN1053" s="108"/>
      <c r="BO1053" s="108"/>
      <c r="BP1053" s="108"/>
      <c r="BQ1053" s="108"/>
      <c r="BR1053" s="108"/>
      <c r="BS1053" s="108"/>
      <c r="BT1053" s="108"/>
      <c r="BU1053" s="108"/>
      <c r="BV1053" s="108"/>
      <c r="BW1053" s="108"/>
      <c r="BX1053" s="108"/>
      <c r="BY1053" s="108"/>
      <c r="BZ1053" s="108"/>
      <c r="CA1053" s="108"/>
      <c r="CB1053" s="108"/>
      <c r="CC1053" s="108"/>
      <c r="CD1053" s="108"/>
      <c r="CE1053" s="108"/>
      <c r="CF1053" s="108"/>
      <c r="CG1053" s="108"/>
      <c r="CH1053" s="108"/>
      <c r="CI1053" s="108"/>
      <c r="CJ1053" s="108"/>
      <c r="CK1053" s="108"/>
      <c r="CL1053" s="108"/>
      <c r="CM1053" s="108"/>
      <c r="CN1053" s="110"/>
      <c r="CO1053" s="111"/>
      <c r="CP1053" s="110"/>
      <c r="CQ1053" s="111"/>
      <c r="CR1053" s="110"/>
      <c r="CS1053" s="111"/>
      <c r="CT1053" s="112">
        <f t="shared" si="263"/>
        <v>0</v>
      </c>
      <c r="CU1053" s="113"/>
      <c r="CV1053" s="114"/>
      <c r="CW1053" s="115"/>
      <c r="CX1053" s="116"/>
      <c r="CY1053" s="117"/>
      <c r="CZ1053" s="116"/>
      <c r="DA1053" s="113"/>
      <c r="DB1053" s="114"/>
      <c r="DC1053" s="64"/>
      <c r="DD1053" s="118"/>
    </row>
    <row r="1054" spans="1:108" s="119" customFormat="1" ht="24" outlineLevel="2">
      <c r="A1054" s="178">
        <v>40505</v>
      </c>
      <c r="B1054" s="164" t="s">
        <v>1144</v>
      </c>
      <c r="C1054" s="164" t="s">
        <v>179</v>
      </c>
      <c r="D1054" s="166" t="s">
        <v>1182</v>
      </c>
      <c r="E1054" s="163"/>
      <c r="F1054" s="105"/>
      <c r="G1054" s="105"/>
      <c r="H1054" s="105"/>
      <c r="I1054" s="105"/>
      <c r="J1054" s="105"/>
      <c r="K1054" s="105"/>
      <c r="L1054" s="105">
        <v>1</v>
      </c>
      <c r="M1054" s="105"/>
      <c r="N1054" s="105"/>
      <c r="O1054" s="105"/>
      <c r="P1054" s="105"/>
      <c r="Q1054" s="105"/>
      <c r="R1054" s="105"/>
      <c r="S1054" s="105"/>
      <c r="T1054" s="106"/>
      <c r="U1054" s="130"/>
      <c r="V1054" s="1"/>
      <c r="W1054" s="68">
        <f t="shared" si="258"/>
        <v>0</v>
      </c>
      <c r="X1054" s="68">
        <f t="shared" si="259"/>
        <v>0</v>
      </c>
      <c r="Y1054" s="68">
        <f t="shared" si="260"/>
        <v>0</v>
      </c>
      <c r="Z1054" s="68">
        <f t="shared" si="261"/>
        <v>0</v>
      </c>
      <c r="AA1054" s="68"/>
      <c r="AB1054" s="68">
        <v>0</v>
      </c>
      <c r="AC1054" s="69">
        <f t="shared" si="262"/>
        <v>0</v>
      </c>
      <c r="AD1054" s="70">
        <v>0</v>
      </c>
      <c r="AE1054" s="63"/>
      <c r="AF1054" s="72"/>
      <c r="AG1054" s="63"/>
      <c r="AH1054" s="23"/>
      <c r="AI1054" s="60"/>
      <c r="AJ1054" s="124"/>
      <c r="AK1054" s="121" t="s">
        <v>180</v>
      </c>
      <c r="AL1054" s="107"/>
      <c r="AM1054" s="108"/>
      <c r="AN1054" s="109"/>
      <c r="AO1054" s="108"/>
      <c r="AP1054" s="108"/>
      <c r="AQ1054" s="108"/>
      <c r="AR1054" s="108"/>
      <c r="AS1054" s="108"/>
      <c r="AT1054" s="108"/>
      <c r="AU1054" s="108"/>
      <c r="AV1054" s="108"/>
      <c r="AW1054" s="108"/>
      <c r="AX1054" s="108"/>
      <c r="AY1054" s="108"/>
      <c r="AZ1054" s="108"/>
      <c r="BA1054" s="108"/>
      <c r="BB1054" s="108"/>
      <c r="BC1054" s="108"/>
      <c r="BD1054" s="108"/>
      <c r="BE1054" s="108"/>
      <c r="BF1054" s="108"/>
      <c r="BG1054" s="108"/>
      <c r="BH1054" s="108"/>
      <c r="BI1054" s="108"/>
      <c r="BJ1054" s="108"/>
      <c r="BK1054" s="108"/>
      <c r="BL1054" s="108"/>
      <c r="BM1054" s="108"/>
      <c r="BN1054" s="108"/>
      <c r="BO1054" s="108"/>
      <c r="BP1054" s="108"/>
      <c r="BQ1054" s="108"/>
      <c r="BR1054" s="108"/>
      <c r="BS1054" s="108"/>
      <c r="BT1054" s="108"/>
      <c r="BU1054" s="108"/>
      <c r="BV1054" s="108"/>
      <c r="BW1054" s="108"/>
      <c r="BX1054" s="108"/>
      <c r="BY1054" s="108"/>
      <c r="BZ1054" s="108"/>
      <c r="CA1054" s="108"/>
      <c r="CB1054" s="108"/>
      <c r="CC1054" s="108"/>
      <c r="CD1054" s="108"/>
      <c r="CE1054" s="108"/>
      <c r="CF1054" s="108"/>
      <c r="CG1054" s="108"/>
      <c r="CH1054" s="108"/>
      <c r="CI1054" s="108"/>
      <c r="CJ1054" s="108"/>
      <c r="CK1054" s="108"/>
      <c r="CL1054" s="108"/>
      <c r="CM1054" s="108"/>
      <c r="CN1054" s="110"/>
      <c r="CO1054" s="111"/>
      <c r="CP1054" s="110"/>
      <c r="CQ1054" s="111"/>
      <c r="CR1054" s="110"/>
      <c r="CS1054" s="111"/>
      <c r="CT1054" s="112">
        <f t="shared" si="263"/>
        <v>0</v>
      </c>
      <c r="CU1054" s="113"/>
      <c r="CV1054" s="114"/>
      <c r="CW1054" s="115"/>
      <c r="CX1054" s="116"/>
      <c r="CY1054" s="117"/>
      <c r="CZ1054" s="116"/>
      <c r="DA1054" s="113"/>
      <c r="DB1054" s="114"/>
      <c r="DC1054" s="64"/>
      <c r="DD1054" s="118"/>
    </row>
    <row r="1055" spans="1:108" s="119" customFormat="1" ht="24" outlineLevel="2">
      <c r="A1055" s="178">
        <v>40505</v>
      </c>
      <c r="B1055" s="164" t="s">
        <v>1144</v>
      </c>
      <c r="C1055" s="164" t="s">
        <v>1391</v>
      </c>
      <c r="D1055" s="166" t="s">
        <v>1182</v>
      </c>
      <c r="E1055" s="163"/>
      <c r="F1055" s="105"/>
      <c r="G1055" s="105"/>
      <c r="H1055" s="105"/>
      <c r="I1055" s="105"/>
      <c r="J1055" s="105"/>
      <c r="K1055" s="105"/>
      <c r="L1055" s="105">
        <v>2</v>
      </c>
      <c r="M1055" s="105"/>
      <c r="N1055" s="105"/>
      <c r="O1055" s="105"/>
      <c r="P1055" s="105"/>
      <c r="Q1055" s="105"/>
      <c r="R1055" s="105"/>
      <c r="S1055" s="105"/>
      <c r="T1055" s="106"/>
      <c r="U1055" s="130"/>
      <c r="V1055" s="1"/>
      <c r="W1055" s="68">
        <f t="shared" si="258"/>
        <v>0</v>
      </c>
      <c r="X1055" s="68">
        <f t="shared" si="259"/>
        <v>0</v>
      </c>
      <c r="Y1055" s="68">
        <f t="shared" si="260"/>
        <v>0</v>
      </c>
      <c r="Z1055" s="68">
        <f t="shared" si="261"/>
        <v>0</v>
      </c>
      <c r="AA1055" s="68"/>
      <c r="AB1055" s="68">
        <v>0</v>
      </c>
      <c r="AC1055" s="69">
        <f t="shared" si="262"/>
        <v>0</v>
      </c>
      <c r="AD1055" s="70">
        <v>0</v>
      </c>
      <c r="AE1055" s="63"/>
      <c r="AF1055" s="72"/>
      <c r="AG1055" s="63"/>
      <c r="AH1055" s="23"/>
      <c r="AI1055" s="60"/>
      <c r="AJ1055" s="124"/>
      <c r="AK1055" s="121" t="s">
        <v>181</v>
      </c>
      <c r="AL1055" s="107"/>
      <c r="AM1055" s="108"/>
      <c r="AN1055" s="109"/>
      <c r="AO1055" s="108"/>
      <c r="AP1055" s="108"/>
      <c r="AQ1055" s="108"/>
      <c r="AR1055" s="108"/>
      <c r="AS1055" s="108"/>
      <c r="AT1055" s="108"/>
      <c r="AU1055" s="108"/>
      <c r="AV1055" s="108"/>
      <c r="AW1055" s="108"/>
      <c r="AX1055" s="108"/>
      <c r="AY1055" s="108"/>
      <c r="AZ1055" s="108"/>
      <c r="BA1055" s="108"/>
      <c r="BB1055" s="108"/>
      <c r="BC1055" s="108"/>
      <c r="BD1055" s="108"/>
      <c r="BE1055" s="108"/>
      <c r="BF1055" s="108"/>
      <c r="BG1055" s="108"/>
      <c r="BH1055" s="108"/>
      <c r="BI1055" s="108"/>
      <c r="BJ1055" s="108"/>
      <c r="BK1055" s="108"/>
      <c r="BL1055" s="108"/>
      <c r="BM1055" s="108"/>
      <c r="BN1055" s="108"/>
      <c r="BO1055" s="108"/>
      <c r="BP1055" s="108"/>
      <c r="BQ1055" s="108"/>
      <c r="BR1055" s="108"/>
      <c r="BS1055" s="108"/>
      <c r="BT1055" s="108"/>
      <c r="BU1055" s="108"/>
      <c r="BV1055" s="108"/>
      <c r="BW1055" s="108"/>
      <c r="BX1055" s="108"/>
      <c r="BY1055" s="108"/>
      <c r="BZ1055" s="108"/>
      <c r="CA1055" s="108"/>
      <c r="CB1055" s="108"/>
      <c r="CC1055" s="108"/>
      <c r="CD1055" s="108"/>
      <c r="CE1055" s="108"/>
      <c r="CF1055" s="108"/>
      <c r="CG1055" s="108"/>
      <c r="CH1055" s="108"/>
      <c r="CI1055" s="108"/>
      <c r="CJ1055" s="108"/>
      <c r="CK1055" s="108"/>
      <c r="CL1055" s="108"/>
      <c r="CM1055" s="108"/>
      <c r="CN1055" s="110"/>
      <c r="CO1055" s="111"/>
      <c r="CP1055" s="110"/>
      <c r="CQ1055" s="111"/>
      <c r="CR1055" s="110"/>
      <c r="CS1055" s="111"/>
      <c r="CT1055" s="112">
        <f t="shared" si="263"/>
        <v>0</v>
      </c>
      <c r="CU1055" s="113"/>
      <c r="CV1055" s="114"/>
      <c r="CW1055" s="115"/>
      <c r="CX1055" s="116"/>
      <c r="CY1055" s="117"/>
      <c r="CZ1055" s="116"/>
      <c r="DA1055" s="113"/>
      <c r="DB1055" s="114"/>
      <c r="DC1055" s="64"/>
      <c r="DD1055" s="118"/>
    </row>
    <row r="1056" spans="1:108" s="119" customFormat="1" ht="108" outlineLevel="2">
      <c r="A1056" s="178">
        <v>40506</v>
      </c>
      <c r="B1056" s="164" t="s">
        <v>1144</v>
      </c>
      <c r="C1056" s="164" t="s">
        <v>2160</v>
      </c>
      <c r="D1056" s="166" t="s">
        <v>1182</v>
      </c>
      <c r="E1056" s="163"/>
      <c r="F1056" s="105"/>
      <c r="G1056" s="105"/>
      <c r="H1056" s="105">
        <v>115</v>
      </c>
      <c r="I1056" s="105">
        <v>30</v>
      </c>
      <c r="J1056" s="105">
        <v>30</v>
      </c>
      <c r="K1056" s="105"/>
      <c r="L1056" s="105">
        <v>8</v>
      </c>
      <c r="M1056" s="105">
        <v>2</v>
      </c>
      <c r="N1056" s="105"/>
      <c r="O1056" s="105"/>
      <c r="P1056" s="105"/>
      <c r="Q1056" s="105"/>
      <c r="R1056" s="105"/>
      <c r="S1056" s="105"/>
      <c r="T1056" s="106"/>
      <c r="U1056" s="130"/>
      <c r="V1056" s="1"/>
      <c r="W1056" s="68">
        <f t="shared" si="258"/>
        <v>0</v>
      </c>
      <c r="X1056" s="68">
        <f t="shared" si="259"/>
        <v>0</v>
      </c>
      <c r="Y1056" s="68">
        <f t="shared" si="260"/>
        <v>0</v>
      </c>
      <c r="Z1056" s="68">
        <f t="shared" si="261"/>
        <v>0</v>
      </c>
      <c r="AA1056" s="68"/>
      <c r="AB1056" s="68">
        <v>0</v>
      </c>
      <c r="AC1056" s="69">
        <f t="shared" si="262"/>
        <v>0</v>
      </c>
      <c r="AD1056" s="70">
        <v>0</v>
      </c>
      <c r="AE1056" s="63"/>
      <c r="AF1056" s="72"/>
      <c r="AG1056" s="63"/>
      <c r="AH1056" s="23"/>
      <c r="AI1056" s="60"/>
      <c r="AJ1056" s="124"/>
      <c r="AK1056" s="121" t="s">
        <v>2161</v>
      </c>
      <c r="AL1056" s="107"/>
      <c r="AM1056" s="108"/>
      <c r="AN1056" s="109"/>
      <c r="AO1056" s="108"/>
      <c r="AP1056" s="108"/>
      <c r="AQ1056" s="108"/>
      <c r="AR1056" s="108"/>
      <c r="AS1056" s="108"/>
      <c r="AT1056" s="108"/>
      <c r="AU1056" s="108"/>
      <c r="AV1056" s="108"/>
      <c r="AW1056" s="108"/>
      <c r="AX1056" s="108"/>
      <c r="AY1056" s="108"/>
      <c r="AZ1056" s="108"/>
      <c r="BA1056" s="108"/>
      <c r="BB1056" s="108"/>
      <c r="BC1056" s="108"/>
      <c r="BD1056" s="108"/>
      <c r="BE1056" s="108"/>
      <c r="BF1056" s="108"/>
      <c r="BG1056" s="108"/>
      <c r="BH1056" s="108"/>
      <c r="BI1056" s="108"/>
      <c r="BJ1056" s="108"/>
      <c r="BK1056" s="108"/>
      <c r="BL1056" s="108"/>
      <c r="BM1056" s="108"/>
      <c r="BN1056" s="108"/>
      <c r="BO1056" s="108"/>
      <c r="BP1056" s="108"/>
      <c r="BQ1056" s="108"/>
      <c r="BR1056" s="108"/>
      <c r="BS1056" s="108"/>
      <c r="BT1056" s="108"/>
      <c r="BU1056" s="108"/>
      <c r="BV1056" s="108"/>
      <c r="BW1056" s="108"/>
      <c r="BX1056" s="108"/>
      <c r="BY1056" s="108"/>
      <c r="BZ1056" s="108"/>
      <c r="CA1056" s="108"/>
      <c r="CB1056" s="108"/>
      <c r="CC1056" s="108"/>
      <c r="CD1056" s="108"/>
      <c r="CE1056" s="108"/>
      <c r="CF1056" s="108"/>
      <c r="CG1056" s="108"/>
      <c r="CH1056" s="108"/>
      <c r="CI1056" s="108"/>
      <c r="CJ1056" s="108"/>
      <c r="CK1056" s="108"/>
      <c r="CL1056" s="108"/>
      <c r="CM1056" s="108"/>
      <c r="CN1056" s="110"/>
      <c r="CO1056" s="111"/>
      <c r="CP1056" s="110"/>
      <c r="CQ1056" s="111"/>
      <c r="CR1056" s="110"/>
      <c r="CS1056" s="111"/>
      <c r="CT1056" s="112">
        <f t="shared" si="263"/>
        <v>0</v>
      </c>
      <c r="CU1056" s="113"/>
      <c r="CV1056" s="114"/>
      <c r="CW1056" s="115"/>
      <c r="CX1056" s="116"/>
      <c r="CY1056" s="117"/>
      <c r="CZ1056" s="116"/>
      <c r="DA1056" s="113"/>
      <c r="DB1056" s="114"/>
      <c r="DC1056" s="64"/>
      <c r="DD1056" s="118"/>
    </row>
    <row r="1057" spans="1:108" s="119" customFormat="1" outlineLevel="2">
      <c r="A1057" s="178">
        <v>40506</v>
      </c>
      <c r="B1057" s="164" t="s">
        <v>1144</v>
      </c>
      <c r="C1057" s="164" t="s">
        <v>2159</v>
      </c>
      <c r="D1057" s="166" t="s">
        <v>1182</v>
      </c>
      <c r="E1057" s="163"/>
      <c r="F1057" s="105"/>
      <c r="G1057" s="105"/>
      <c r="H1057" s="105">
        <v>95</v>
      </c>
      <c r="I1057" s="105">
        <v>19</v>
      </c>
      <c r="J1057" s="105"/>
      <c r="K1057" s="105">
        <v>19</v>
      </c>
      <c r="L1057" s="105"/>
      <c r="M1057" s="105"/>
      <c r="N1057" s="105"/>
      <c r="O1057" s="105"/>
      <c r="P1057" s="105"/>
      <c r="Q1057" s="105"/>
      <c r="R1057" s="105"/>
      <c r="S1057" s="105"/>
      <c r="T1057" s="106"/>
      <c r="U1057" s="130"/>
      <c r="V1057" s="1"/>
      <c r="W1057" s="68">
        <f t="shared" si="258"/>
        <v>0</v>
      </c>
      <c r="X1057" s="68">
        <f t="shared" si="259"/>
        <v>0</v>
      </c>
      <c r="Y1057" s="68">
        <f t="shared" si="260"/>
        <v>0</v>
      </c>
      <c r="Z1057" s="68">
        <f t="shared" si="261"/>
        <v>0</v>
      </c>
      <c r="AA1057" s="68"/>
      <c r="AB1057" s="68">
        <v>0</v>
      </c>
      <c r="AC1057" s="69">
        <f t="shared" si="262"/>
        <v>0</v>
      </c>
      <c r="AD1057" s="70">
        <v>0</v>
      </c>
      <c r="AE1057" s="63"/>
      <c r="AF1057" s="72"/>
      <c r="AG1057" s="63"/>
      <c r="AH1057" s="23"/>
      <c r="AI1057" s="60"/>
      <c r="AJ1057" s="124"/>
      <c r="AK1057" s="121" t="s">
        <v>1051</v>
      </c>
      <c r="AL1057" s="107"/>
      <c r="AM1057" s="108"/>
      <c r="AN1057" s="109"/>
      <c r="AO1057" s="108"/>
      <c r="AP1057" s="108"/>
      <c r="AQ1057" s="108"/>
      <c r="AR1057" s="108"/>
      <c r="AS1057" s="108"/>
      <c r="AT1057" s="108"/>
      <c r="AU1057" s="108"/>
      <c r="AV1057" s="108"/>
      <c r="AW1057" s="108"/>
      <c r="AX1057" s="108"/>
      <c r="AY1057" s="108"/>
      <c r="AZ1057" s="108"/>
      <c r="BA1057" s="108"/>
      <c r="BB1057" s="108"/>
      <c r="BC1057" s="108"/>
      <c r="BD1057" s="108"/>
      <c r="BE1057" s="108"/>
      <c r="BF1057" s="108"/>
      <c r="BG1057" s="108"/>
      <c r="BH1057" s="108"/>
      <c r="BI1057" s="108"/>
      <c r="BJ1057" s="108"/>
      <c r="BK1057" s="108"/>
      <c r="BL1057" s="108"/>
      <c r="BM1057" s="108"/>
      <c r="BN1057" s="108"/>
      <c r="BO1057" s="108"/>
      <c r="BP1057" s="108"/>
      <c r="BQ1057" s="108"/>
      <c r="BR1057" s="108"/>
      <c r="BS1057" s="108"/>
      <c r="BT1057" s="108"/>
      <c r="BU1057" s="108"/>
      <c r="BV1057" s="108"/>
      <c r="BW1057" s="108"/>
      <c r="BX1057" s="108"/>
      <c r="BY1057" s="108"/>
      <c r="BZ1057" s="108"/>
      <c r="CA1057" s="108"/>
      <c r="CB1057" s="108"/>
      <c r="CC1057" s="108"/>
      <c r="CD1057" s="108"/>
      <c r="CE1057" s="108"/>
      <c r="CF1057" s="108"/>
      <c r="CG1057" s="108"/>
      <c r="CH1057" s="108"/>
      <c r="CI1057" s="108"/>
      <c r="CJ1057" s="108"/>
      <c r="CK1057" s="108"/>
      <c r="CL1057" s="108"/>
      <c r="CM1057" s="108"/>
      <c r="CN1057" s="110"/>
      <c r="CO1057" s="111"/>
      <c r="CP1057" s="110"/>
      <c r="CQ1057" s="111"/>
      <c r="CR1057" s="110"/>
      <c r="CS1057" s="111"/>
      <c r="CT1057" s="112">
        <f t="shared" si="263"/>
        <v>0</v>
      </c>
      <c r="CU1057" s="113"/>
      <c r="CV1057" s="114"/>
      <c r="CW1057" s="115"/>
      <c r="CX1057" s="116"/>
      <c r="CY1057" s="117"/>
      <c r="CZ1057" s="116"/>
      <c r="DA1057" s="113"/>
      <c r="DB1057" s="114"/>
      <c r="DC1057" s="64"/>
      <c r="DD1057" s="118"/>
    </row>
    <row r="1058" spans="1:108" s="119" customFormat="1" ht="36" outlineLevel="2">
      <c r="A1058" s="178">
        <v>40507</v>
      </c>
      <c r="B1058" s="164" t="s">
        <v>1144</v>
      </c>
      <c r="C1058" s="164" t="s">
        <v>2162</v>
      </c>
      <c r="D1058" s="166" t="s">
        <v>1182</v>
      </c>
      <c r="E1058" s="163"/>
      <c r="F1058" s="105"/>
      <c r="G1058" s="105"/>
      <c r="H1058" s="105">
        <v>280</v>
      </c>
      <c r="I1058" s="105">
        <v>56</v>
      </c>
      <c r="J1058" s="105"/>
      <c r="K1058" s="105">
        <v>56</v>
      </c>
      <c r="L1058" s="105"/>
      <c r="M1058" s="105"/>
      <c r="N1058" s="105"/>
      <c r="O1058" s="105"/>
      <c r="P1058" s="105"/>
      <c r="Q1058" s="105"/>
      <c r="R1058" s="105"/>
      <c r="S1058" s="105"/>
      <c r="T1058" s="106"/>
      <c r="U1058" s="130"/>
      <c r="V1058" s="1"/>
      <c r="W1058" s="68">
        <f t="shared" si="258"/>
        <v>0</v>
      </c>
      <c r="X1058" s="68">
        <f t="shared" si="259"/>
        <v>0</v>
      </c>
      <c r="Y1058" s="68">
        <f t="shared" si="260"/>
        <v>0</v>
      </c>
      <c r="Z1058" s="68">
        <f t="shared" si="261"/>
        <v>0</v>
      </c>
      <c r="AA1058" s="68"/>
      <c r="AB1058" s="68">
        <v>0</v>
      </c>
      <c r="AC1058" s="69">
        <f t="shared" si="262"/>
        <v>0</v>
      </c>
      <c r="AD1058" s="70">
        <v>0</v>
      </c>
      <c r="AE1058" s="63"/>
      <c r="AF1058" s="72"/>
      <c r="AG1058" s="63"/>
      <c r="AH1058" s="23"/>
      <c r="AI1058" s="60"/>
      <c r="AJ1058" s="124"/>
      <c r="AK1058" s="121" t="s">
        <v>2163</v>
      </c>
      <c r="AL1058" s="107"/>
      <c r="AM1058" s="108"/>
      <c r="AN1058" s="109"/>
      <c r="AO1058" s="108"/>
      <c r="AP1058" s="108"/>
      <c r="AQ1058" s="108"/>
      <c r="AR1058" s="108"/>
      <c r="AS1058" s="108"/>
      <c r="AT1058" s="108"/>
      <c r="AU1058" s="108"/>
      <c r="AV1058" s="108"/>
      <c r="AW1058" s="108"/>
      <c r="AX1058" s="108"/>
      <c r="AY1058" s="108"/>
      <c r="AZ1058" s="108"/>
      <c r="BA1058" s="108"/>
      <c r="BB1058" s="108"/>
      <c r="BC1058" s="108"/>
      <c r="BD1058" s="108"/>
      <c r="BE1058" s="108"/>
      <c r="BF1058" s="108"/>
      <c r="BG1058" s="108"/>
      <c r="BH1058" s="108"/>
      <c r="BI1058" s="108"/>
      <c r="BJ1058" s="108"/>
      <c r="BK1058" s="108"/>
      <c r="BL1058" s="108"/>
      <c r="BM1058" s="108"/>
      <c r="BN1058" s="108"/>
      <c r="BO1058" s="108"/>
      <c r="BP1058" s="108"/>
      <c r="BQ1058" s="108"/>
      <c r="BR1058" s="108"/>
      <c r="BS1058" s="108"/>
      <c r="BT1058" s="108"/>
      <c r="BU1058" s="108"/>
      <c r="BV1058" s="108"/>
      <c r="BW1058" s="108"/>
      <c r="BX1058" s="108"/>
      <c r="BY1058" s="108"/>
      <c r="BZ1058" s="108"/>
      <c r="CA1058" s="108"/>
      <c r="CB1058" s="108"/>
      <c r="CC1058" s="108"/>
      <c r="CD1058" s="108"/>
      <c r="CE1058" s="108"/>
      <c r="CF1058" s="108"/>
      <c r="CG1058" s="108"/>
      <c r="CH1058" s="108"/>
      <c r="CI1058" s="108"/>
      <c r="CJ1058" s="108"/>
      <c r="CK1058" s="108"/>
      <c r="CL1058" s="108"/>
      <c r="CM1058" s="108"/>
      <c r="CN1058" s="110"/>
      <c r="CO1058" s="111"/>
      <c r="CP1058" s="110"/>
      <c r="CQ1058" s="111"/>
      <c r="CR1058" s="110"/>
      <c r="CS1058" s="111"/>
      <c r="CT1058" s="112">
        <f t="shared" si="263"/>
        <v>0</v>
      </c>
      <c r="CU1058" s="113"/>
      <c r="CV1058" s="114"/>
      <c r="CW1058" s="115"/>
      <c r="CX1058" s="116"/>
      <c r="CY1058" s="117"/>
      <c r="CZ1058" s="116"/>
      <c r="DA1058" s="113"/>
      <c r="DB1058" s="114"/>
      <c r="DC1058" s="64"/>
      <c r="DD1058" s="118"/>
    </row>
    <row r="1059" spans="1:108" s="119" customFormat="1" ht="60" outlineLevel="2">
      <c r="A1059" s="178">
        <v>40507</v>
      </c>
      <c r="B1059" s="164" t="s">
        <v>1144</v>
      </c>
      <c r="C1059" s="164" t="s">
        <v>1857</v>
      </c>
      <c r="D1059" s="166" t="s">
        <v>1182</v>
      </c>
      <c r="E1059" s="163"/>
      <c r="F1059" s="105"/>
      <c r="G1059" s="105"/>
      <c r="H1059" s="105">
        <v>105</v>
      </c>
      <c r="I1059" s="105">
        <v>21</v>
      </c>
      <c r="J1059" s="105"/>
      <c r="K1059" s="105">
        <v>21</v>
      </c>
      <c r="L1059" s="105">
        <v>7</v>
      </c>
      <c r="M1059" s="105"/>
      <c r="N1059" s="105"/>
      <c r="O1059" s="105"/>
      <c r="P1059" s="105"/>
      <c r="Q1059" s="105"/>
      <c r="R1059" s="105"/>
      <c r="S1059" s="105"/>
      <c r="T1059" s="106"/>
      <c r="U1059" s="130"/>
      <c r="V1059" s="1"/>
      <c r="W1059" s="68">
        <f t="shared" si="258"/>
        <v>0</v>
      </c>
      <c r="X1059" s="68">
        <f t="shared" si="259"/>
        <v>0</v>
      </c>
      <c r="Y1059" s="68">
        <f t="shared" si="260"/>
        <v>0</v>
      </c>
      <c r="Z1059" s="68">
        <f t="shared" si="261"/>
        <v>0</v>
      </c>
      <c r="AA1059" s="68"/>
      <c r="AB1059" s="68">
        <v>0</v>
      </c>
      <c r="AC1059" s="69">
        <f t="shared" si="262"/>
        <v>0</v>
      </c>
      <c r="AD1059" s="70">
        <v>0</v>
      </c>
      <c r="AE1059" s="63"/>
      <c r="AF1059" s="72"/>
      <c r="AG1059" s="63"/>
      <c r="AH1059" s="23"/>
      <c r="AI1059" s="60"/>
      <c r="AJ1059" s="124"/>
      <c r="AK1059" s="121" t="s">
        <v>2164</v>
      </c>
      <c r="AL1059" s="107"/>
      <c r="AM1059" s="108"/>
      <c r="AN1059" s="109"/>
      <c r="AO1059" s="108"/>
      <c r="AP1059" s="108"/>
      <c r="AQ1059" s="108"/>
      <c r="AR1059" s="108"/>
      <c r="AS1059" s="108"/>
      <c r="AT1059" s="108"/>
      <c r="AU1059" s="108"/>
      <c r="AV1059" s="108"/>
      <c r="AW1059" s="108"/>
      <c r="AX1059" s="108"/>
      <c r="AY1059" s="108"/>
      <c r="AZ1059" s="108"/>
      <c r="BA1059" s="108"/>
      <c r="BB1059" s="108"/>
      <c r="BC1059" s="108"/>
      <c r="BD1059" s="108"/>
      <c r="BE1059" s="108"/>
      <c r="BF1059" s="108"/>
      <c r="BG1059" s="108"/>
      <c r="BH1059" s="108"/>
      <c r="BI1059" s="108"/>
      <c r="BJ1059" s="108"/>
      <c r="BK1059" s="108"/>
      <c r="BL1059" s="108"/>
      <c r="BM1059" s="108"/>
      <c r="BN1059" s="108"/>
      <c r="BO1059" s="108"/>
      <c r="BP1059" s="108"/>
      <c r="BQ1059" s="108"/>
      <c r="BR1059" s="108"/>
      <c r="BS1059" s="108"/>
      <c r="BT1059" s="108"/>
      <c r="BU1059" s="108"/>
      <c r="BV1059" s="108"/>
      <c r="BW1059" s="108"/>
      <c r="BX1059" s="108"/>
      <c r="BY1059" s="108"/>
      <c r="BZ1059" s="108"/>
      <c r="CA1059" s="108"/>
      <c r="CB1059" s="108"/>
      <c r="CC1059" s="108"/>
      <c r="CD1059" s="108"/>
      <c r="CE1059" s="108"/>
      <c r="CF1059" s="108"/>
      <c r="CG1059" s="108"/>
      <c r="CH1059" s="108"/>
      <c r="CI1059" s="108"/>
      <c r="CJ1059" s="108"/>
      <c r="CK1059" s="108"/>
      <c r="CL1059" s="108"/>
      <c r="CM1059" s="108"/>
      <c r="CN1059" s="110"/>
      <c r="CO1059" s="111"/>
      <c r="CP1059" s="110"/>
      <c r="CQ1059" s="111"/>
      <c r="CR1059" s="110"/>
      <c r="CS1059" s="111"/>
      <c r="CT1059" s="112">
        <f t="shared" si="263"/>
        <v>0</v>
      </c>
      <c r="CU1059" s="113"/>
      <c r="CV1059" s="114"/>
      <c r="CW1059" s="115"/>
      <c r="CX1059" s="116"/>
      <c r="CY1059" s="117"/>
      <c r="CZ1059" s="116"/>
      <c r="DA1059" s="113"/>
      <c r="DB1059" s="114"/>
      <c r="DC1059" s="64"/>
      <c r="DD1059" s="118"/>
    </row>
    <row r="1060" spans="1:108" s="119" customFormat="1" outlineLevel="2">
      <c r="A1060" s="178">
        <v>40507</v>
      </c>
      <c r="B1060" s="164" t="s">
        <v>1144</v>
      </c>
      <c r="C1060" s="164" t="s">
        <v>343</v>
      </c>
      <c r="D1060" s="166" t="s">
        <v>1182</v>
      </c>
      <c r="E1060" s="163"/>
      <c r="F1060" s="105"/>
      <c r="G1060" s="105"/>
      <c r="H1060" s="105">
        <v>75</v>
      </c>
      <c r="I1060" s="105">
        <v>15</v>
      </c>
      <c r="J1060" s="105">
        <v>2</v>
      </c>
      <c r="K1060" s="105">
        <v>13</v>
      </c>
      <c r="L1060" s="105">
        <v>1</v>
      </c>
      <c r="M1060" s="105"/>
      <c r="N1060" s="105"/>
      <c r="O1060" s="105"/>
      <c r="P1060" s="105"/>
      <c r="Q1060" s="105"/>
      <c r="R1060" s="105"/>
      <c r="S1060" s="105"/>
      <c r="T1060" s="106"/>
      <c r="U1060" s="130"/>
      <c r="V1060" s="1"/>
      <c r="W1060" s="68">
        <f t="shared" si="258"/>
        <v>0</v>
      </c>
      <c r="X1060" s="68">
        <f t="shared" si="259"/>
        <v>0</v>
      </c>
      <c r="Y1060" s="68">
        <f t="shared" si="260"/>
        <v>0</v>
      </c>
      <c r="Z1060" s="68">
        <f t="shared" si="261"/>
        <v>0</v>
      </c>
      <c r="AA1060" s="68"/>
      <c r="AB1060" s="68">
        <v>0</v>
      </c>
      <c r="AC1060" s="69">
        <f t="shared" si="262"/>
        <v>0</v>
      </c>
      <c r="AD1060" s="70">
        <v>0</v>
      </c>
      <c r="AE1060" s="63"/>
      <c r="AF1060" s="72"/>
      <c r="AG1060" s="63"/>
      <c r="AH1060" s="23"/>
      <c r="AI1060" s="60"/>
      <c r="AJ1060" s="124"/>
      <c r="AK1060" s="121" t="s">
        <v>1612</v>
      </c>
      <c r="AL1060" s="107"/>
      <c r="AM1060" s="108"/>
      <c r="AN1060" s="109"/>
      <c r="AO1060" s="108"/>
      <c r="AP1060" s="108"/>
      <c r="AQ1060" s="108"/>
      <c r="AR1060" s="108"/>
      <c r="AS1060" s="108"/>
      <c r="AT1060" s="108"/>
      <c r="AU1060" s="108"/>
      <c r="AV1060" s="108"/>
      <c r="AW1060" s="108"/>
      <c r="AX1060" s="108"/>
      <c r="AY1060" s="108"/>
      <c r="AZ1060" s="108"/>
      <c r="BA1060" s="108"/>
      <c r="BB1060" s="108"/>
      <c r="BC1060" s="108"/>
      <c r="BD1060" s="108"/>
      <c r="BE1060" s="108"/>
      <c r="BF1060" s="108"/>
      <c r="BG1060" s="108"/>
      <c r="BH1060" s="108"/>
      <c r="BI1060" s="108"/>
      <c r="BJ1060" s="108"/>
      <c r="BK1060" s="108"/>
      <c r="BL1060" s="108"/>
      <c r="BM1060" s="108"/>
      <c r="BN1060" s="108"/>
      <c r="BO1060" s="108"/>
      <c r="BP1060" s="108"/>
      <c r="BQ1060" s="108"/>
      <c r="BR1060" s="108"/>
      <c r="BS1060" s="108"/>
      <c r="BT1060" s="108"/>
      <c r="BU1060" s="108"/>
      <c r="BV1060" s="108"/>
      <c r="BW1060" s="108"/>
      <c r="BX1060" s="108"/>
      <c r="BY1060" s="108"/>
      <c r="BZ1060" s="108"/>
      <c r="CA1060" s="108"/>
      <c r="CB1060" s="108"/>
      <c r="CC1060" s="108"/>
      <c r="CD1060" s="108"/>
      <c r="CE1060" s="108"/>
      <c r="CF1060" s="108"/>
      <c r="CG1060" s="108"/>
      <c r="CH1060" s="108"/>
      <c r="CI1060" s="108"/>
      <c r="CJ1060" s="108"/>
      <c r="CK1060" s="108"/>
      <c r="CL1060" s="108"/>
      <c r="CM1060" s="108"/>
      <c r="CN1060" s="110"/>
      <c r="CO1060" s="111"/>
      <c r="CP1060" s="110"/>
      <c r="CQ1060" s="111"/>
      <c r="CR1060" s="110"/>
      <c r="CS1060" s="111"/>
      <c r="CT1060" s="112">
        <f t="shared" si="263"/>
        <v>0</v>
      </c>
      <c r="CU1060" s="113"/>
      <c r="CV1060" s="114"/>
      <c r="CW1060" s="115"/>
      <c r="CX1060" s="116"/>
      <c r="CY1060" s="117"/>
      <c r="CZ1060" s="116"/>
      <c r="DA1060" s="113"/>
      <c r="DB1060" s="114"/>
      <c r="DC1060" s="64"/>
      <c r="DD1060" s="118"/>
    </row>
    <row r="1061" spans="1:108" s="119" customFormat="1" outlineLevel="2">
      <c r="A1061" s="178">
        <v>40510</v>
      </c>
      <c r="B1061" s="164" t="s">
        <v>1144</v>
      </c>
      <c r="C1061" s="164" t="s">
        <v>345</v>
      </c>
      <c r="D1061" s="166" t="s">
        <v>1182</v>
      </c>
      <c r="E1061" s="163">
        <v>1</v>
      </c>
      <c r="F1061" s="105"/>
      <c r="G1061" s="105"/>
      <c r="H1061" s="105">
        <v>237</v>
      </c>
      <c r="I1061" s="105">
        <v>60</v>
      </c>
      <c r="J1061" s="105"/>
      <c r="K1061" s="105">
        <v>60</v>
      </c>
      <c r="L1061" s="105"/>
      <c r="M1061" s="105"/>
      <c r="N1061" s="105"/>
      <c r="O1061" s="105"/>
      <c r="P1061" s="105"/>
      <c r="Q1061" s="105"/>
      <c r="R1061" s="105"/>
      <c r="S1061" s="105"/>
      <c r="T1061" s="106"/>
      <c r="U1061" s="130"/>
      <c r="V1061" s="1"/>
      <c r="W1061" s="68">
        <f t="shared" si="258"/>
        <v>0</v>
      </c>
      <c r="X1061" s="68">
        <f t="shared" si="259"/>
        <v>0</v>
      </c>
      <c r="Y1061" s="68">
        <f t="shared" si="260"/>
        <v>0</v>
      </c>
      <c r="Z1061" s="68">
        <f t="shared" si="261"/>
        <v>0</v>
      </c>
      <c r="AA1061" s="68"/>
      <c r="AB1061" s="68">
        <v>0</v>
      </c>
      <c r="AC1061" s="69">
        <f t="shared" si="262"/>
        <v>0</v>
      </c>
      <c r="AD1061" s="70">
        <v>0</v>
      </c>
      <c r="AE1061" s="63">
        <v>40512</v>
      </c>
      <c r="AF1061" s="72"/>
      <c r="AG1061" s="63" t="s">
        <v>938</v>
      </c>
      <c r="AH1061" s="23" t="s">
        <v>939</v>
      </c>
      <c r="AI1061" s="60"/>
      <c r="AJ1061" s="124" t="s">
        <v>1608</v>
      </c>
      <c r="AK1061" s="121" t="s">
        <v>2075</v>
      </c>
      <c r="AL1061" s="107"/>
      <c r="AM1061" s="108"/>
      <c r="AN1061" s="109"/>
      <c r="AO1061" s="108"/>
      <c r="AP1061" s="108"/>
      <c r="AQ1061" s="108"/>
      <c r="AR1061" s="108"/>
      <c r="AS1061" s="108"/>
      <c r="AT1061" s="108"/>
      <c r="AU1061" s="108"/>
      <c r="AV1061" s="108"/>
      <c r="AW1061" s="108"/>
      <c r="AX1061" s="108"/>
      <c r="AY1061" s="108"/>
      <c r="AZ1061" s="108"/>
      <c r="BA1061" s="108"/>
      <c r="BB1061" s="108"/>
      <c r="BC1061" s="108"/>
      <c r="BD1061" s="108"/>
      <c r="BE1061" s="108"/>
      <c r="BF1061" s="108"/>
      <c r="BG1061" s="108"/>
      <c r="BH1061" s="108"/>
      <c r="BI1061" s="108"/>
      <c r="BJ1061" s="108"/>
      <c r="BK1061" s="108"/>
      <c r="BL1061" s="108"/>
      <c r="BM1061" s="108"/>
      <c r="BN1061" s="108"/>
      <c r="BO1061" s="108"/>
      <c r="BP1061" s="108"/>
      <c r="BQ1061" s="108"/>
      <c r="BR1061" s="108"/>
      <c r="BS1061" s="108"/>
      <c r="BT1061" s="108"/>
      <c r="BU1061" s="108"/>
      <c r="BV1061" s="108"/>
      <c r="BW1061" s="108"/>
      <c r="BX1061" s="108"/>
      <c r="BY1061" s="108"/>
      <c r="BZ1061" s="108"/>
      <c r="CA1061" s="108"/>
      <c r="CB1061" s="108"/>
      <c r="CC1061" s="108"/>
      <c r="CD1061" s="108"/>
      <c r="CE1061" s="108"/>
      <c r="CF1061" s="108"/>
      <c r="CG1061" s="108"/>
      <c r="CH1061" s="108"/>
      <c r="CI1061" s="108"/>
      <c r="CJ1061" s="108"/>
      <c r="CK1061" s="108"/>
      <c r="CL1061" s="108"/>
      <c r="CM1061" s="108"/>
      <c r="CN1061" s="110"/>
      <c r="CO1061" s="111"/>
      <c r="CP1061" s="110"/>
      <c r="CQ1061" s="111"/>
      <c r="CR1061" s="110"/>
      <c r="CS1061" s="111"/>
      <c r="CT1061" s="112">
        <f t="shared" si="263"/>
        <v>0</v>
      </c>
      <c r="CU1061" s="113"/>
      <c r="CV1061" s="114"/>
      <c r="CW1061" s="115"/>
      <c r="CX1061" s="116"/>
      <c r="CY1061" s="117"/>
      <c r="CZ1061" s="116"/>
      <c r="DA1061" s="113"/>
      <c r="DB1061" s="114"/>
      <c r="DC1061" s="64"/>
      <c r="DD1061" s="118"/>
    </row>
    <row r="1062" spans="1:108" s="119" customFormat="1" ht="24" outlineLevel="2">
      <c r="A1062" s="178">
        <v>40511</v>
      </c>
      <c r="B1062" s="164" t="s">
        <v>1144</v>
      </c>
      <c r="C1062" s="164" t="s">
        <v>171</v>
      </c>
      <c r="D1062" s="166" t="s">
        <v>1262</v>
      </c>
      <c r="E1062" s="163"/>
      <c r="F1062" s="105"/>
      <c r="G1062" s="105"/>
      <c r="H1062" s="105">
        <v>4800</v>
      </c>
      <c r="I1062" s="105">
        <v>1200</v>
      </c>
      <c r="J1062" s="105"/>
      <c r="K1062" s="105">
        <v>1200</v>
      </c>
      <c r="L1062" s="105"/>
      <c r="M1062" s="105"/>
      <c r="N1062" s="105"/>
      <c r="O1062" s="105"/>
      <c r="P1062" s="105"/>
      <c r="Q1062" s="105"/>
      <c r="R1062" s="105"/>
      <c r="S1062" s="105"/>
      <c r="T1062" s="106"/>
      <c r="U1062" s="130"/>
      <c r="V1062" s="1"/>
      <c r="W1062" s="68">
        <f t="shared" si="258"/>
        <v>0</v>
      </c>
      <c r="X1062" s="68">
        <f t="shared" si="259"/>
        <v>0</v>
      </c>
      <c r="Y1062" s="68">
        <f t="shared" si="260"/>
        <v>0</v>
      </c>
      <c r="Z1062" s="68">
        <f t="shared" si="261"/>
        <v>0</v>
      </c>
      <c r="AA1062" s="68"/>
      <c r="AB1062" s="68">
        <v>0</v>
      </c>
      <c r="AC1062" s="69">
        <f t="shared" si="262"/>
        <v>0</v>
      </c>
      <c r="AD1062" s="70">
        <v>0</v>
      </c>
      <c r="AE1062" s="63"/>
      <c r="AF1062" s="72"/>
      <c r="AG1062" s="63"/>
      <c r="AH1062" s="23"/>
      <c r="AI1062" s="60"/>
      <c r="AJ1062" s="124"/>
      <c r="AK1062" s="121" t="s">
        <v>172</v>
      </c>
      <c r="AL1062" s="107"/>
      <c r="AM1062" s="108"/>
      <c r="AN1062" s="109"/>
      <c r="AO1062" s="108"/>
      <c r="AP1062" s="108"/>
      <c r="AQ1062" s="108"/>
      <c r="AR1062" s="108"/>
      <c r="AS1062" s="108"/>
      <c r="AT1062" s="108"/>
      <c r="AU1062" s="108"/>
      <c r="AV1062" s="108"/>
      <c r="AW1062" s="108"/>
      <c r="AX1062" s="108"/>
      <c r="AY1062" s="108"/>
      <c r="AZ1062" s="108"/>
      <c r="BA1062" s="108"/>
      <c r="BB1062" s="108"/>
      <c r="BC1062" s="108"/>
      <c r="BD1062" s="108"/>
      <c r="BE1062" s="108"/>
      <c r="BF1062" s="108"/>
      <c r="BG1062" s="108"/>
      <c r="BH1062" s="108"/>
      <c r="BI1062" s="108"/>
      <c r="BJ1062" s="108"/>
      <c r="BK1062" s="108"/>
      <c r="BL1062" s="108"/>
      <c r="BM1062" s="108"/>
      <c r="BN1062" s="108"/>
      <c r="BO1062" s="108"/>
      <c r="BP1062" s="108"/>
      <c r="BQ1062" s="108"/>
      <c r="BR1062" s="108"/>
      <c r="BS1062" s="108"/>
      <c r="BT1062" s="108"/>
      <c r="BU1062" s="108"/>
      <c r="BV1062" s="108"/>
      <c r="BW1062" s="108"/>
      <c r="BX1062" s="108"/>
      <c r="BY1062" s="108"/>
      <c r="BZ1062" s="108"/>
      <c r="CA1062" s="108"/>
      <c r="CB1062" s="108"/>
      <c r="CC1062" s="108"/>
      <c r="CD1062" s="108"/>
      <c r="CE1062" s="108"/>
      <c r="CF1062" s="108"/>
      <c r="CG1062" s="108"/>
      <c r="CH1062" s="108"/>
      <c r="CI1062" s="108"/>
      <c r="CJ1062" s="108"/>
      <c r="CK1062" s="108"/>
      <c r="CL1062" s="108"/>
      <c r="CM1062" s="108"/>
      <c r="CN1062" s="110"/>
      <c r="CO1062" s="111"/>
      <c r="CP1062" s="110"/>
      <c r="CQ1062" s="111"/>
      <c r="CR1062" s="110"/>
      <c r="CS1062" s="111"/>
      <c r="CT1062" s="112">
        <f t="shared" si="263"/>
        <v>0</v>
      </c>
      <c r="CU1062" s="113"/>
      <c r="CV1062" s="114"/>
      <c r="CW1062" s="115"/>
      <c r="CX1062" s="116"/>
      <c r="CY1062" s="117"/>
      <c r="CZ1062" s="116"/>
      <c r="DA1062" s="113"/>
      <c r="DB1062" s="114"/>
      <c r="DC1062" s="64"/>
      <c r="DD1062" s="118"/>
    </row>
    <row r="1063" spans="1:108" s="119" customFormat="1" ht="24" outlineLevel="2">
      <c r="A1063" s="178">
        <v>40512</v>
      </c>
      <c r="B1063" s="164" t="s">
        <v>1144</v>
      </c>
      <c r="C1063" s="164" t="s">
        <v>2165</v>
      </c>
      <c r="D1063" s="166" t="s">
        <v>1182</v>
      </c>
      <c r="E1063" s="163"/>
      <c r="F1063" s="105"/>
      <c r="G1063" s="105"/>
      <c r="H1063" s="105">
        <v>302</v>
      </c>
      <c r="I1063" s="105">
        <v>91</v>
      </c>
      <c r="J1063" s="105"/>
      <c r="K1063" s="105">
        <v>91</v>
      </c>
      <c r="L1063" s="105"/>
      <c r="M1063" s="105"/>
      <c r="N1063" s="105"/>
      <c r="O1063" s="105"/>
      <c r="P1063" s="105"/>
      <c r="Q1063" s="105"/>
      <c r="R1063" s="105"/>
      <c r="S1063" s="105"/>
      <c r="T1063" s="106"/>
      <c r="U1063" s="130"/>
      <c r="V1063" s="1"/>
      <c r="W1063" s="68">
        <f t="shared" si="258"/>
        <v>0</v>
      </c>
      <c r="X1063" s="68">
        <f t="shared" si="259"/>
        <v>0</v>
      </c>
      <c r="Y1063" s="68">
        <f t="shared" si="260"/>
        <v>0</v>
      </c>
      <c r="Z1063" s="68">
        <f t="shared" si="261"/>
        <v>0</v>
      </c>
      <c r="AA1063" s="68"/>
      <c r="AB1063" s="68">
        <v>0</v>
      </c>
      <c r="AC1063" s="69">
        <f t="shared" si="262"/>
        <v>0</v>
      </c>
      <c r="AD1063" s="70">
        <v>0</v>
      </c>
      <c r="AE1063" s="63"/>
      <c r="AF1063" s="72"/>
      <c r="AG1063" s="63"/>
      <c r="AH1063" s="23"/>
      <c r="AI1063" s="60"/>
      <c r="AJ1063" s="124"/>
      <c r="AK1063" s="121" t="s">
        <v>2166</v>
      </c>
      <c r="AL1063" s="107"/>
      <c r="AM1063" s="108"/>
      <c r="AN1063" s="109"/>
      <c r="AO1063" s="108"/>
      <c r="AP1063" s="108"/>
      <c r="AQ1063" s="108"/>
      <c r="AR1063" s="108"/>
      <c r="AS1063" s="108"/>
      <c r="AT1063" s="108"/>
      <c r="AU1063" s="108"/>
      <c r="AV1063" s="108"/>
      <c r="AW1063" s="108"/>
      <c r="AX1063" s="108"/>
      <c r="AY1063" s="108"/>
      <c r="AZ1063" s="108"/>
      <c r="BA1063" s="108"/>
      <c r="BB1063" s="108"/>
      <c r="BC1063" s="108"/>
      <c r="BD1063" s="108"/>
      <c r="BE1063" s="108"/>
      <c r="BF1063" s="108"/>
      <c r="BG1063" s="108"/>
      <c r="BH1063" s="108"/>
      <c r="BI1063" s="108"/>
      <c r="BJ1063" s="108"/>
      <c r="BK1063" s="108"/>
      <c r="BL1063" s="108"/>
      <c r="BM1063" s="108"/>
      <c r="BN1063" s="108"/>
      <c r="BO1063" s="108"/>
      <c r="BP1063" s="108"/>
      <c r="BQ1063" s="108"/>
      <c r="BR1063" s="108"/>
      <c r="BS1063" s="108"/>
      <c r="BT1063" s="108"/>
      <c r="BU1063" s="108"/>
      <c r="BV1063" s="108"/>
      <c r="BW1063" s="108"/>
      <c r="BX1063" s="108"/>
      <c r="BY1063" s="108"/>
      <c r="BZ1063" s="108"/>
      <c r="CA1063" s="108"/>
      <c r="CB1063" s="108"/>
      <c r="CC1063" s="108"/>
      <c r="CD1063" s="108"/>
      <c r="CE1063" s="108"/>
      <c r="CF1063" s="108"/>
      <c r="CG1063" s="108"/>
      <c r="CH1063" s="108"/>
      <c r="CI1063" s="108"/>
      <c r="CJ1063" s="108"/>
      <c r="CK1063" s="108"/>
      <c r="CL1063" s="108"/>
      <c r="CM1063" s="108"/>
      <c r="CN1063" s="110"/>
      <c r="CO1063" s="111"/>
      <c r="CP1063" s="110"/>
      <c r="CQ1063" s="111"/>
      <c r="CR1063" s="110"/>
      <c r="CS1063" s="111"/>
      <c r="CT1063" s="112">
        <f t="shared" si="263"/>
        <v>0</v>
      </c>
      <c r="CU1063" s="113"/>
      <c r="CV1063" s="114"/>
      <c r="CW1063" s="115"/>
      <c r="CX1063" s="116"/>
      <c r="CY1063" s="117"/>
      <c r="CZ1063" s="116"/>
      <c r="DA1063" s="113"/>
      <c r="DB1063" s="114"/>
      <c r="DC1063" s="64"/>
      <c r="DD1063" s="118"/>
    </row>
    <row r="1064" spans="1:108" s="119" customFormat="1" ht="36" outlineLevel="2">
      <c r="A1064" s="178">
        <v>40512</v>
      </c>
      <c r="B1064" s="164" t="s">
        <v>1144</v>
      </c>
      <c r="C1064" s="164" t="s">
        <v>2167</v>
      </c>
      <c r="D1064" s="166" t="s">
        <v>1182</v>
      </c>
      <c r="E1064" s="163"/>
      <c r="F1064" s="105"/>
      <c r="G1064" s="105"/>
      <c r="H1064" s="105">
        <v>34</v>
      </c>
      <c r="I1064" s="105">
        <v>10</v>
      </c>
      <c r="J1064" s="105"/>
      <c r="K1064" s="105">
        <v>10</v>
      </c>
      <c r="L1064" s="105">
        <v>4</v>
      </c>
      <c r="M1064" s="105"/>
      <c r="N1064" s="105"/>
      <c r="O1064" s="105"/>
      <c r="P1064" s="105"/>
      <c r="Q1064" s="105"/>
      <c r="R1064" s="105"/>
      <c r="S1064" s="105"/>
      <c r="T1064" s="106"/>
      <c r="U1064" s="130"/>
      <c r="V1064" s="1"/>
      <c r="W1064" s="68">
        <f t="shared" si="258"/>
        <v>0</v>
      </c>
      <c r="X1064" s="68">
        <f t="shared" si="259"/>
        <v>0</v>
      </c>
      <c r="Y1064" s="68">
        <f t="shared" si="260"/>
        <v>0</v>
      </c>
      <c r="Z1064" s="68">
        <f t="shared" si="261"/>
        <v>0</v>
      </c>
      <c r="AA1064" s="68"/>
      <c r="AB1064" s="68">
        <v>0</v>
      </c>
      <c r="AC1064" s="69">
        <f t="shared" si="262"/>
        <v>0</v>
      </c>
      <c r="AD1064" s="70">
        <v>0</v>
      </c>
      <c r="AE1064" s="63"/>
      <c r="AF1064" s="72"/>
      <c r="AG1064" s="63"/>
      <c r="AH1064" s="23"/>
      <c r="AI1064" s="60"/>
      <c r="AJ1064" s="124"/>
      <c r="AK1064" s="121" t="s">
        <v>2168</v>
      </c>
      <c r="AL1064" s="107"/>
      <c r="AM1064" s="108"/>
      <c r="AN1064" s="109"/>
      <c r="AO1064" s="108"/>
      <c r="AP1064" s="108"/>
      <c r="AQ1064" s="108"/>
      <c r="AR1064" s="108"/>
      <c r="AS1064" s="108"/>
      <c r="AT1064" s="108"/>
      <c r="AU1064" s="108"/>
      <c r="AV1064" s="108"/>
      <c r="AW1064" s="108"/>
      <c r="AX1064" s="108"/>
      <c r="AY1064" s="108"/>
      <c r="AZ1064" s="108"/>
      <c r="BA1064" s="108"/>
      <c r="BB1064" s="108"/>
      <c r="BC1064" s="108"/>
      <c r="BD1064" s="108"/>
      <c r="BE1064" s="108"/>
      <c r="BF1064" s="108"/>
      <c r="BG1064" s="108"/>
      <c r="BH1064" s="108"/>
      <c r="BI1064" s="108"/>
      <c r="BJ1064" s="108"/>
      <c r="BK1064" s="108"/>
      <c r="BL1064" s="108"/>
      <c r="BM1064" s="108"/>
      <c r="BN1064" s="108"/>
      <c r="BO1064" s="108"/>
      <c r="BP1064" s="108"/>
      <c r="BQ1064" s="108"/>
      <c r="BR1064" s="108"/>
      <c r="BS1064" s="108"/>
      <c r="BT1064" s="108"/>
      <c r="BU1064" s="108"/>
      <c r="BV1064" s="108"/>
      <c r="BW1064" s="108"/>
      <c r="BX1064" s="108"/>
      <c r="BY1064" s="108"/>
      <c r="BZ1064" s="108"/>
      <c r="CA1064" s="108"/>
      <c r="CB1064" s="108"/>
      <c r="CC1064" s="108"/>
      <c r="CD1064" s="108"/>
      <c r="CE1064" s="108"/>
      <c r="CF1064" s="108"/>
      <c r="CG1064" s="108"/>
      <c r="CH1064" s="108"/>
      <c r="CI1064" s="108"/>
      <c r="CJ1064" s="108"/>
      <c r="CK1064" s="108"/>
      <c r="CL1064" s="108"/>
      <c r="CM1064" s="108"/>
      <c r="CN1064" s="110"/>
      <c r="CO1064" s="111"/>
      <c r="CP1064" s="110"/>
      <c r="CQ1064" s="111"/>
      <c r="CR1064" s="110"/>
      <c r="CS1064" s="111"/>
      <c r="CT1064" s="112">
        <f t="shared" si="263"/>
        <v>0</v>
      </c>
      <c r="CU1064" s="113"/>
      <c r="CV1064" s="114"/>
      <c r="CW1064" s="115"/>
      <c r="CX1064" s="116"/>
      <c r="CY1064" s="117"/>
      <c r="CZ1064" s="116"/>
      <c r="DA1064" s="113"/>
      <c r="DB1064" s="114"/>
      <c r="DC1064" s="64"/>
      <c r="DD1064" s="118"/>
    </row>
    <row r="1065" spans="1:108" s="119" customFormat="1" ht="132" outlineLevel="2">
      <c r="A1065" s="178">
        <v>40513</v>
      </c>
      <c r="B1065" s="164" t="s">
        <v>1144</v>
      </c>
      <c r="C1065" s="164" t="s">
        <v>2169</v>
      </c>
      <c r="D1065" s="166" t="s">
        <v>1182</v>
      </c>
      <c r="E1065" s="163"/>
      <c r="F1065" s="105"/>
      <c r="G1065" s="105"/>
      <c r="H1065" s="105">
        <v>610</v>
      </c>
      <c r="I1065" s="105">
        <v>122</v>
      </c>
      <c r="J1065" s="105"/>
      <c r="K1065" s="105">
        <v>122</v>
      </c>
      <c r="L1065" s="105">
        <v>15</v>
      </c>
      <c r="M1065" s="105"/>
      <c r="N1065" s="105"/>
      <c r="O1065" s="105"/>
      <c r="P1065" s="105"/>
      <c r="Q1065" s="105"/>
      <c r="R1065" s="105"/>
      <c r="S1065" s="105"/>
      <c r="T1065" s="106"/>
      <c r="U1065" s="130"/>
      <c r="V1065" s="1"/>
      <c r="W1065" s="68">
        <f t="shared" si="258"/>
        <v>0</v>
      </c>
      <c r="X1065" s="68">
        <f t="shared" si="259"/>
        <v>0</v>
      </c>
      <c r="Y1065" s="68">
        <f t="shared" si="260"/>
        <v>0</v>
      </c>
      <c r="Z1065" s="68">
        <f t="shared" si="261"/>
        <v>0</v>
      </c>
      <c r="AA1065" s="68"/>
      <c r="AB1065" s="68">
        <v>0</v>
      </c>
      <c r="AC1065" s="69">
        <f t="shared" si="262"/>
        <v>0</v>
      </c>
      <c r="AD1065" s="70">
        <v>0</v>
      </c>
      <c r="AE1065" s="63"/>
      <c r="AF1065" s="72"/>
      <c r="AG1065" s="63"/>
      <c r="AH1065" s="23"/>
      <c r="AI1065" s="60"/>
      <c r="AJ1065" s="124"/>
      <c r="AK1065" s="121" t="s">
        <v>182</v>
      </c>
      <c r="AL1065" s="107"/>
      <c r="AM1065" s="108"/>
      <c r="AN1065" s="109"/>
      <c r="AO1065" s="108"/>
      <c r="AP1065" s="108"/>
      <c r="AQ1065" s="108"/>
      <c r="AR1065" s="108"/>
      <c r="AS1065" s="108"/>
      <c r="AT1065" s="108"/>
      <c r="AU1065" s="108"/>
      <c r="AV1065" s="108"/>
      <c r="AW1065" s="108"/>
      <c r="AX1065" s="108"/>
      <c r="AY1065" s="108"/>
      <c r="AZ1065" s="108"/>
      <c r="BA1065" s="108"/>
      <c r="BB1065" s="108"/>
      <c r="BC1065" s="108"/>
      <c r="BD1065" s="108"/>
      <c r="BE1065" s="108"/>
      <c r="BF1065" s="108"/>
      <c r="BG1065" s="108"/>
      <c r="BH1065" s="108"/>
      <c r="BI1065" s="108"/>
      <c r="BJ1065" s="108"/>
      <c r="BK1065" s="108"/>
      <c r="BL1065" s="108"/>
      <c r="BM1065" s="108"/>
      <c r="BN1065" s="108"/>
      <c r="BO1065" s="108"/>
      <c r="BP1065" s="108"/>
      <c r="BQ1065" s="108"/>
      <c r="BR1065" s="108"/>
      <c r="BS1065" s="108"/>
      <c r="BT1065" s="108"/>
      <c r="BU1065" s="108"/>
      <c r="BV1065" s="108"/>
      <c r="BW1065" s="108"/>
      <c r="BX1065" s="108"/>
      <c r="BY1065" s="108"/>
      <c r="BZ1065" s="108"/>
      <c r="CA1065" s="108"/>
      <c r="CB1065" s="108"/>
      <c r="CC1065" s="108"/>
      <c r="CD1065" s="108"/>
      <c r="CE1065" s="108"/>
      <c r="CF1065" s="108"/>
      <c r="CG1065" s="108"/>
      <c r="CH1065" s="108"/>
      <c r="CI1065" s="108"/>
      <c r="CJ1065" s="108"/>
      <c r="CK1065" s="108"/>
      <c r="CL1065" s="108"/>
      <c r="CM1065" s="108"/>
      <c r="CN1065" s="110"/>
      <c r="CO1065" s="111"/>
      <c r="CP1065" s="110"/>
      <c r="CQ1065" s="111"/>
      <c r="CR1065" s="110"/>
      <c r="CS1065" s="111"/>
      <c r="CT1065" s="112">
        <f t="shared" si="263"/>
        <v>0</v>
      </c>
      <c r="CU1065" s="113"/>
      <c r="CV1065" s="114"/>
      <c r="CW1065" s="115"/>
      <c r="CX1065" s="116"/>
      <c r="CY1065" s="117"/>
      <c r="CZ1065" s="116"/>
      <c r="DA1065" s="113"/>
      <c r="DB1065" s="114"/>
      <c r="DC1065" s="64"/>
      <c r="DD1065" s="118"/>
    </row>
    <row r="1066" spans="1:108" s="119" customFormat="1" ht="24" outlineLevel="2">
      <c r="A1066" s="178">
        <v>40513</v>
      </c>
      <c r="B1066" s="164" t="s">
        <v>1144</v>
      </c>
      <c r="C1066" s="164" t="s">
        <v>183</v>
      </c>
      <c r="D1066" s="166" t="s">
        <v>1182</v>
      </c>
      <c r="E1066" s="163"/>
      <c r="F1066" s="105"/>
      <c r="G1066" s="105"/>
      <c r="H1066" s="105"/>
      <c r="I1066" s="105"/>
      <c r="J1066" s="105"/>
      <c r="K1066" s="105"/>
      <c r="L1066" s="105">
        <v>1</v>
      </c>
      <c r="M1066" s="105">
        <v>2</v>
      </c>
      <c r="N1066" s="105"/>
      <c r="O1066" s="105"/>
      <c r="P1066" s="105"/>
      <c r="Q1066" s="105"/>
      <c r="R1066" s="105"/>
      <c r="S1066" s="105"/>
      <c r="T1066" s="106"/>
      <c r="U1066" s="130"/>
      <c r="V1066" s="1"/>
      <c r="W1066" s="68">
        <f t="shared" si="258"/>
        <v>0</v>
      </c>
      <c r="X1066" s="68">
        <f t="shared" si="259"/>
        <v>0</v>
      </c>
      <c r="Y1066" s="68">
        <f t="shared" si="260"/>
        <v>0</v>
      </c>
      <c r="Z1066" s="68">
        <f t="shared" si="261"/>
        <v>0</v>
      </c>
      <c r="AA1066" s="68"/>
      <c r="AB1066" s="68">
        <v>0</v>
      </c>
      <c r="AC1066" s="69">
        <f t="shared" si="262"/>
        <v>0</v>
      </c>
      <c r="AD1066" s="70">
        <v>0</v>
      </c>
      <c r="AE1066" s="63"/>
      <c r="AF1066" s="72"/>
      <c r="AG1066" s="63"/>
      <c r="AH1066" s="23"/>
      <c r="AI1066" s="60"/>
      <c r="AJ1066" s="124"/>
      <c r="AK1066" s="121" t="s">
        <v>184</v>
      </c>
      <c r="AL1066" s="107"/>
      <c r="AM1066" s="108"/>
      <c r="AN1066" s="109"/>
      <c r="AO1066" s="108"/>
      <c r="AP1066" s="108"/>
      <c r="AQ1066" s="108"/>
      <c r="AR1066" s="108"/>
      <c r="AS1066" s="108"/>
      <c r="AT1066" s="108"/>
      <c r="AU1066" s="108"/>
      <c r="AV1066" s="108"/>
      <c r="AW1066" s="108"/>
      <c r="AX1066" s="108"/>
      <c r="AY1066" s="108"/>
      <c r="AZ1066" s="108"/>
      <c r="BA1066" s="108"/>
      <c r="BB1066" s="108"/>
      <c r="BC1066" s="108"/>
      <c r="BD1066" s="108"/>
      <c r="BE1066" s="108"/>
      <c r="BF1066" s="108"/>
      <c r="BG1066" s="108"/>
      <c r="BH1066" s="108"/>
      <c r="BI1066" s="108"/>
      <c r="BJ1066" s="108"/>
      <c r="BK1066" s="108"/>
      <c r="BL1066" s="108"/>
      <c r="BM1066" s="108"/>
      <c r="BN1066" s="108"/>
      <c r="BO1066" s="108"/>
      <c r="BP1066" s="108"/>
      <c r="BQ1066" s="108"/>
      <c r="BR1066" s="108"/>
      <c r="BS1066" s="108"/>
      <c r="BT1066" s="108"/>
      <c r="BU1066" s="108"/>
      <c r="BV1066" s="108"/>
      <c r="BW1066" s="108"/>
      <c r="BX1066" s="108"/>
      <c r="BY1066" s="108"/>
      <c r="BZ1066" s="108"/>
      <c r="CA1066" s="108"/>
      <c r="CB1066" s="108"/>
      <c r="CC1066" s="108"/>
      <c r="CD1066" s="108"/>
      <c r="CE1066" s="108"/>
      <c r="CF1066" s="108"/>
      <c r="CG1066" s="108"/>
      <c r="CH1066" s="108"/>
      <c r="CI1066" s="108"/>
      <c r="CJ1066" s="108"/>
      <c r="CK1066" s="108"/>
      <c r="CL1066" s="108"/>
      <c r="CM1066" s="108"/>
      <c r="CN1066" s="110"/>
      <c r="CO1066" s="111"/>
      <c r="CP1066" s="110"/>
      <c r="CQ1066" s="111"/>
      <c r="CR1066" s="110"/>
      <c r="CS1066" s="111"/>
      <c r="CT1066" s="112">
        <f t="shared" si="263"/>
        <v>0</v>
      </c>
      <c r="CU1066" s="113"/>
      <c r="CV1066" s="114"/>
      <c r="CW1066" s="115"/>
      <c r="CX1066" s="116"/>
      <c r="CY1066" s="117"/>
      <c r="CZ1066" s="116"/>
      <c r="DA1066" s="113"/>
      <c r="DB1066" s="114"/>
      <c r="DC1066" s="64"/>
      <c r="DD1066" s="118"/>
    </row>
    <row r="1067" spans="1:108" s="119" customFormat="1" ht="60" outlineLevel="2">
      <c r="A1067" s="178">
        <v>40519</v>
      </c>
      <c r="B1067" s="164" t="s">
        <v>1144</v>
      </c>
      <c r="C1067" s="164" t="s">
        <v>2156</v>
      </c>
      <c r="D1067" s="166" t="s">
        <v>1182</v>
      </c>
      <c r="E1067" s="163"/>
      <c r="F1067" s="105"/>
      <c r="G1067" s="105"/>
      <c r="H1067" s="105">
        <v>420</v>
      </c>
      <c r="I1067" s="105">
        <v>105</v>
      </c>
      <c r="J1067" s="105"/>
      <c r="K1067" s="105">
        <v>105</v>
      </c>
      <c r="L1067" s="105">
        <v>5</v>
      </c>
      <c r="M1067" s="105"/>
      <c r="N1067" s="105"/>
      <c r="O1067" s="105"/>
      <c r="P1067" s="105"/>
      <c r="Q1067" s="105"/>
      <c r="R1067" s="105"/>
      <c r="S1067" s="105"/>
      <c r="T1067" s="106"/>
      <c r="U1067" s="130"/>
      <c r="V1067" s="1"/>
      <c r="W1067" s="68">
        <f t="shared" si="258"/>
        <v>0</v>
      </c>
      <c r="X1067" s="68">
        <f t="shared" si="259"/>
        <v>0</v>
      </c>
      <c r="Y1067" s="68">
        <f t="shared" si="260"/>
        <v>0</v>
      </c>
      <c r="Z1067" s="68">
        <f t="shared" si="261"/>
        <v>0</v>
      </c>
      <c r="AA1067" s="68"/>
      <c r="AB1067" s="68">
        <v>0</v>
      </c>
      <c r="AC1067" s="69">
        <f t="shared" si="262"/>
        <v>0</v>
      </c>
      <c r="AD1067" s="70">
        <v>0</v>
      </c>
      <c r="AE1067" s="63"/>
      <c r="AF1067" s="72"/>
      <c r="AG1067" s="63"/>
      <c r="AH1067" s="23"/>
      <c r="AI1067" s="60"/>
      <c r="AJ1067" s="124"/>
      <c r="AK1067" s="121" t="s">
        <v>2157</v>
      </c>
      <c r="AL1067" s="107"/>
      <c r="AM1067" s="108"/>
      <c r="AN1067" s="109"/>
      <c r="AO1067" s="108"/>
      <c r="AP1067" s="108"/>
      <c r="AQ1067" s="108"/>
      <c r="AR1067" s="108"/>
      <c r="AS1067" s="108"/>
      <c r="AT1067" s="108"/>
      <c r="AU1067" s="108"/>
      <c r="AV1067" s="108"/>
      <c r="AW1067" s="108"/>
      <c r="AX1067" s="108"/>
      <c r="AY1067" s="108"/>
      <c r="AZ1067" s="108"/>
      <c r="BA1067" s="108"/>
      <c r="BB1067" s="108"/>
      <c r="BC1067" s="108"/>
      <c r="BD1067" s="108"/>
      <c r="BE1067" s="108"/>
      <c r="BF1067" s="108"/>
      <c r="BG1067" s="108"/>
      <c r="BH1067" s="108"/>
      <c r="BI1067" s="108"/>
      <c r="BJ1067" s="108"/>
      <c r="BK1067" s="108"/>
      <c r="BL1067" s="108"/>
      <c r="BM1067" s="108"/>
      <c r="BN1067" s="108"/>
      <c r="BO1067" s="108"/>
      <c r="BP1067" s="108"/>
      <c r="BQ1067" s="108"/>
      <c r="BR1067" s="108"/>
      <c r="BS1067" s="108"/>
      <c r="BT1067" s="108"/>
      <c r="BU1067" s="108"/>
      <c r="BV1067" s="108"/>
      <c r="BW1067" s="108"/>
      <c r="BX1067" s="108"/>
      <c r="BY1067" s="108"/>
      <c r="BZ1067" s="108"/>
      <c r="CA1067" s="108"/>
      <c r="CB1067" s="108"/>
      <c r="CC1067" s="108"/>
      <c r="CD1067" s="108"/>
      <c r="CE1067" s="108"/>
      <c r="CF1067" s="108"/>
      <c r="CG1067" s="108"/>
      <c r="CH1067" s="108"/>
      <c r="CI1067" s="108"/>
      <c r="CJ1067" s="108"/>
      <c r="CK1067" s="108"/>
      <c r="CL1067" s="108"/>
      <c r="CM1067" s="108"/>
      <c r="CN1067" s="110"/>
      <c r="CO1067" s="111"/>
      <c r="CP1067" s="110"/>
      <c r="CQ1067" s="111"/>
      <c r="CR1067" s="110"/>
      <c r="CS1067" s="111"/>
      <c r="CT1067" s="112">
        <f t="shared" si="263"/>
        <v>0</v>
      </c>
      <c r="CU1067" s="113"/>
      <c r="CV1067" s="114"/>
      <c r="CW1067" s="115"/>
      <c r="CX1067" s="116"/>
      <c r="CY1067" s="117"/>
      <c r="CZ1067" s="116"/>
      <c r="DA1067" s="113"/>
      <c r="DB1067" s="114"/>
      <c r="DC1067" s="64"/>
      <c r="DD1067" s="118"/>
    </row>
    <row r="1068" spans="1:108" s="119" customFormat="1" outlineLevel="2">
      <c r="A1068" s="178">
        <v>40523</v>
      </c>
      <c r="B1068" s="164" t="s">
        <v>1144</v>
      </c>
      <c r="C1068" s="164" t="s">
        <v>1562</v>
      </c>
      <c r="D1068" s="166" t="s">
        <v>1182</v>
      </c>
      <c r="E1068" s="163"/>
      <c r="F1068" s="105">
        <v>3</v>
      </c>
      <c r="G1068" s="105"/>
      <c r="H1068" s="105"/>
      <c r="I1068" s="105"/>
      <c r="J1068" s="105"/>
      <c r="K1068" s="105"/>
      <c r="L1068" s="105">
        <v>1</v>
      </c>
      <c r="M1068" s="105"/>
      <c r="N1068" s="105"/>
      <c r="O1068" s="105"/>
      <c r="P1068" s="105"/>
      <c r="Q1068" s="105"/>
      <c r="R1068" s="105"/>
      <c r="S1068" s="105"/>
      <c r="T1068" s="106"/>
      <c r="U1068" s="130" t="s">
        <v>2395</v>
      </c>
      <c r="V1068" s="1"/>
      <c r="W1068" s="68">
        <f t="shared" si="258"/>
        <v>0</v>
      </c>
      <c r="X1068" s="68">
        <f t="shared" si="259"/>
        <v>0</v>
      </c>
      <c r="Y1068" s="68">
        <f t="shared" si="260"/>
        <v>0</v>
      </c>
      <c r="Z1068" s="68">
        <f t="shared" si="261"/>
        <v>0</v>
      </c>
      <c r="AA1068" s="68"/>
      <c r="AB1068" s="68">
        <v>0</v>
      </c>
      <c r="AC1068" s="69">
        <f t="shared" si="262"/>
        <v>0</v>
      </c>
      <c r="AD1068" s="70">
        <v>0</v>
      </c>
      <c r="AE1068" s="63"/>
      <c r="AF1068" s="72"/>
      <c r="AG1068" s="63"/>
      <c r="AH1068" s="23"/>
      <c r="AI1068" s="60"/>
      <c r="AJ1068" s="124"/>
      <c r="AK1068" s="121" t="s">
        <v>2396</v>
      </c>
      <c r="AL1068" s="107"/>
      <c r="AM1068" s="108"/>
      <c r="AN1068" s="109"/>
      <c r="AO1068" s="108"/>
      <c r="AP1068" s="108"/>
      <c r="AQ1068" s="108"/>
      <c r="AR1068" s="108"/>
      <c r="AS1068" s="108"/>
      <c r="AT1068" s="108"/>
      <c r="AU1068" s="108"/>
      <c r="AV1068" s="108"/>
      <c r="AW1068" s="108"/>
      <c r="AX1068" s="108"/>
      <c r="AY1068" s="108"/>
      <c r="AZ1068" s="108"/>
      <c r="BA1068" s="108"/>
      <c r="BB1068" s="108"/>
      <c r="BC1068" s="108"/>
      <c r="BD1068" s="108"/>
      <c r="BE1068" s="108"/>
      <c r="BF1068" s="108"/>
      <c r="BG1068" s="108"/>
      <c r="BH1068" s="108"/>
      <c r="BI1068" s="108"/>
      <c r="BJ1068" s="108"/>
      <c r="BK1068" s="108"/>
      <c r="BL1068" s="108"/>
      <c r="BM1068" s="108"/>
      <c r="BN1068" s="108"/>
      <c r="BO1068" s="108"/>
      <c r="BP1068" s="108"/>
      <c r="BQ1068" s="108"/>
      <c r="BR1068" s="108"/>
      <c r="BS1068" s="108"/>
      <c r="BT1068" s="108"/>
      <c r="BU1068" s="108"/>
      <c r="BV1068" s="108"/>
      <c r="BW1068" s="108"/>
      <c r="BX1068" s="108"/>
      <c r="BY1068" s="108"/>
      <c r="BZ1068" s="108"/>
      <c r="CA1068" s="108"/>
      <c r="CB1068" s="108"/>
      <c r="CC1068" s="108"/>
      <c r="CD1068" s="108"/>
      <c r="CE1068" s="108"/>
      <c r="CF1068" s="108"/>
      <c r="CG1068" s="108"/>
      <c r="CH1068" s="108"/>
      <c r="CI1068" s="108"/>
      <c r="CJ1068" s="108"/>
      <c r="CK1068" s="108"/>
      <c r="CL1068" s="108"/>
      <c r="CM1068" s="108"/>
      <c r="CN1068" s="110"/>
      <c r="CO1068" s="111"/>
      <c r="CP1068" s="110"/>
      <c r="CQ1068" s="111"/>
      <c r="CR1068" s="110"/>
      <c r="CS1068" s="111"/>
      <c r="CT1068" s="112">
        <f t="shared" si="263"/>
        <v>0</v>
      </c>
      <c r="CU1068" s="113"/>
      <c r="CV1068" s="114"/>
      <c r="CW1068" s="115"/>
      <c r="CX1068" s="116"/>
      <c r="CY1068" s="117"/>
      <c r="CZ1068" s="116"/>
      <c r="DA1068" s="113"/>
      <c r="DB1068" s="114"/>
      <c r="DC1068" s="64"/>
      <c r="DD1068" s="118"/>
    </row>
    <row r="1069" spans="1:108" s="119" customFormat="1" ht="24" outlineLevel="2">
      <c r="A1069" s="178">
        <v>40523</v>
      </c>
      <c r="B1069" s="164" t="s">
        <v>1144</v>
      </c>
      <c r="C1069" s="164" t="s">
        <v>1562</v>
      </c>
      <c r="D1069" s="166" t="s">
        <v>1182</v>
      </c>
      <c r="E1069" s="163"/>
      <c r="F1069" s="105"/>
      <c r="G1069" s="105"/>
      <c r="H1069" s="105">
        <v>35</v>
      </c>
      <c r="I1069" s="105">
        <v>7</v>
      </c>
      <c r="J1069" s="105"/>
      <c r="K1069" s="105">
        <v>7</v>
      </c>
      <c r="L1069" s="105"/>
      <c r="M1069" s="105"/>
      <c r="N1069" s="105"/>
      <c r="O1069" s="105"/>
      <c r="P1069" s="105"/>
      <c r="Q1069" s="105"/>
      <c r="R1069" s="105"/>
      <c r="S1069" s="105"/>
      <c r="T1069" s="106"/>
      <c r="U1069" s="130"/>
      <c r="V1069" s="1"/>
      <c r="W1069" s="68">
        <f t="shared" si="258"/>
        <v>0</v>
      </c>
      <c r="X1069" s="68">
        <f t="shared" si="259"/>
        <v>0</v>
      </c>
      <c r="Y1069" s="68">
        <f t="shared" si="260"/>
        <v>0</v>
      </c>
      <c r="Z1069" s="68">
        <f t="shared" si="261"/>
        <v>0</v>
      </c>
      <c r="AA1069" s="68"/>
      <c r="AB1069" s="68">
        <v>0</v>
      </c>
      <c r="AC1069" s="69">
        <f t="shared" si="262"/>
        <v>0</v>
      </c>
      <c r="AD1069" s="70">
        <v>0</v>
      </c>
      <c r="AE1069" s="63"/>
      <c r="AF1069" s="72"/>
      <c r="AG1069" s="63"/>
      <c r="AH1069" s="23"/>
      <c r="AI1069" s="60"/>
      <c r="AJ1069" s="124"/>
      <c r="AK1069" s="121" t="s">
        <v>2397</v>
      </c>
      <c r="AL1069" s="107"/>
      <c r="AM1069" s="108"/>
      <c r="AN1069" s="109"/>
      <c r="AO1069" s="108"/>
      <c r="AP1069" s="108"/>
      <c r="AQ1069" s="108"/>
      <c r="AR1069" s="108"/>
      <c r="AS1069" s="108"/>
      <c r="AT1069" s="108"/>
      <c r="AU1069" s="108"/>
      <c r="AV1069" s="108"/>
      <c r="AW1069" s="108"/>
      <c r="AX1069" s="108"/>
      <c r="AY1069" s="108"/>
      <c r="AZ1069" s="108"/>
      <c r="BA1069" s="108"/>
      <c r="BB1069" s="108"/>
      <c r="BC1069" s="108"/>
      <c r="BD1069" s="108"/>
      <c r="BE1069" s="108"/>
      <c r="BF1069" s="108"/>
      <c r="BG1069" s="108"/>
      <c r="BH1069" s="108"/>
      <c r="BI1069" s="108"/>
      <c r="BJ1069" s="108"/>
      <c r="BK1069" s="108"/>
      <c r="BL1069" s="108"/>
      <c r="BM1069" s="108"/>
      <c r="BN1069" s="108"/>
      <c r="BO1069" s="108"/>
      <c r="BP1069" s="108"/>
      <c r="BQ1069" s="108"/>
      <c r="BR1069" s="108"/>
      <c r="BS1069" s="108"/>
      <c r="BT1069" s="108"/>
      <c r="BU1069" s="108"/>
      <c r="BV1069" s="108"/>
      <c r="BW1069" s="108"/>
      <c r="BX1069" s="108"/>
      <c r="BY1069" s="108"/>
      <c r="BZ1069" s="108"/>
      <c r="CA1069" s="108"/>
      <c r="CB1069" s="108"/>
      <c r="CC1069" s="108"/>
      <c r="CD1069" s="108"/>
      <c r="CE1069" s="108"/>
      <c r="CF1069" s="108"/>
      <c r="CG1069" s="108"/>
      <c r="CH1069" s="108"/>
      <c r="CI1069" s="108"/>
      <c r="CJ1069" s="108"/>
      <c r="CK1069" s="108"/>
      <c r="CL1069" s="108"/>
      <c r="CM1069" s="108"/>
      <c r="CN1069" s="110"/>
      <c r="CO1069" s="111"/>
      <c r="CP1069" s="110"/>
      <c r="CQ1069" s="111"/>
      <c r="CR1069" s="110"/>
      <c r="CS1069" s="111"/>
      <c r="CT1069" s="112">
        <f t="shared" si="263"/>
        <v>0</v>
      </c>
      <c r="CU1069" s="113"/>
      <c r="CV1069" s="114"/>
      <c r="CW1069" s="115"/>
      <c r="CX1069" s="116"/>
      <c r="CY1069" s="117"/>
      <c r="CZ1069" s="116"/>
      <c r="DA1069" s="113"/>
      <c r="DB1069" s="114"/>
      <c r="DC1069" s="64"/>
      <c r="DD1069" s="118"/>
    </row>
    <row r="1070" spans="1:108" s="119" customFormat="1" ht="22.5" outlineLevel="2">
      <c r="A1070" s="178">
        <v>40519</v>
      </c>
      <c r="B1070" s="164" t="s">
        <v>1144</v>
      </c>
      <c r="C1070" s="164" t="s">
        <v>2294</v>
      </c>
      <c r="D1070" s="166" t="s">
        <v>1182</v>
      </c>
      <c r="E1070" s="163"/>
      <c r="F1070" s="105"/>
      <c r="G1070" s="105"/>
      <c r="H1070" s="105">
        <v>84</v>
      </c>
      <c r="I1070" s="105">
        <v>21</v>
      </c>
      <c r="J1070" s="105">
        <v>5</v>
      </c>
      <c r="K1070" s="105">
        <v>16</v>
      </c>
      <c r="L1070" s="105"/>
      <c r="M1070" s="105"/>
      <c r="N1070" s="105"/>
      <c r="O1070" s="105"/>
      <c r="P1070" s="105"/>
      <c r="Q1070" s="105"/>
      <c r="R1070" s="105"/>
      <c r="S1070" s="105"/>
      <c r="T1070" s="106"/>
      <c r="U1070" s="130"/>
      <c r="V1070" s="1"/>
      <c r="W1070" s="68">
        <f t="shared" si="258"/>
        <v>0</v>
      </c>
      <c r="X1070" s="68">
        <f t="shared" si="259"/>
        <v>0</v>
      </c>
      <c r="Y1070" s="68">
        <f t="shared" si="260"/>
        <v>0</v>
      </c>
      <c r="Z1070" s="68">
        <f t="shared" si="261"/>
        <v>0</v>
      </c>
      <c r="AA1070" s="68"/>
      <c r="AB1070" s="68">
        <v>0</v>
      </c>
      <c r="AC1070" s="69">
        <f t="shared" si="262"/>
        <v>0</v>
      </c>
      <c r="AD1070" s="70">
        <v>0</v>
      </c>
      <c r="AE1070" s="63"/>
      <c r="AF1070" s="72"/>
      <c r="AG1070" s="63"/>
      <c r="AH1070" s="23"/>
      <c r="AI1070" s="60"/>
      <c r="AJ1070" s="124"/>
      <c r="AK1070" s="121" t="s">
        <v>2433</v>
      </c>
      <c r="AL1070" s="107"/>
      <c r="AM1070" s="108"/>
      <c r="AN1070" s="109"/>
      <c r="AO1070" s="108"/>
      <c r="AP1070" s="108"/>
      <c r="AQ1070" s="108"/>
      <c r="AR1070" s="108"/>
      <c r="AS1070" s="108"/>
      <c r="AT1070" s="108"/>
      <c r="AU1070" s="108"/>
      <c r="AV1070" s="108"/>
      <c r="AW1070" s="108"/>
      <c r="AX1070" s="108"/>
      <c r="AY1070" s="108"/>
      <c r="AZ1070" s="108"/>
      <c r="BA1070" s="108"/>
      <c r="BB1070" s="108"/>
      <c r="BC1070" s="108"/>
      <c r="BD1070" s="108"/>
      <c r="BE1070" s="108"/>
      <c r="BF1070" s="108"/>
      <c r="BG1070" s="108"/>
      <c r="BH1070" s="108"/>
      <c r="BI1070" s="108"/>
      <c r="BJ1070" s="108"/>
      <c r="BK1070" s="108"/>
      <c r="BL1070" s="108"/>
      <c r="BM1070" s="108"/>
      <c r="BN1070" s="108"/>
      <c r="BO1070" s="108"/>
      <c r="BP1070" s="108"/>
      <c r="BQ1070" s="108"/>
      <c r="BR1070" s="108"/>
      <c r="BS1070" s="108"/>
      <c r="BT1070" s="108"/>
      <c r="BU1070" s="108"/>
      <c r="BV1070" s="108"/>
      <c r="BW1070" s="108"/>
      <c r="BX1070" s="108"/>
      <c r="BY1070" s="108"/>
      <c r="BZ1070" s="108"/>
      <c r="CA1070" s="108"/>
      <c r="CB1070" s="108"/>
      <c r="CC1070" s="108"/>
      <c r="CD1070" s="108"/>
      <c r="CE1070" s="108"/>
      <c r="CF1070" s="108"/>
      <c r="CG1070" s="108"/>
      <c r="CH1070" s="108"/>
      <c r="CI1070" s="108"/>
      <c r="CJ1070" s="108"/>
      <c r="CK1070" s="108"/>
      <c r="CL1070" s="108"/>
      <c r="CM1070" s="108"/>
      <c r="CN1070" s="110"/>
      <c r="CO1070" s="111"/>
      <c r="CP1070" s="110"/>
      <c r="CQ1070" s="111"/>
      <c r="CR1070" s="110"/>
      <c r="CS1070" s="111"/>
      <c r="CT1070" s="112">
        <f t="shared" si="263"/>
        <v>0</v>
      </c>
      <c r="CU1070" s="113"/>
      <c r="CV1070" s="114"/>
      <c r="CW1070" s="115"/>
      <c r="CX1070" s="116"/>
      <c r="CY1070" s="117"/>
      <c r="CZ1070" s="116"/>
      <c r="DA1070" s="113"/>
      <c r="DB1070" s="114"/>
      <c r="DC1070" s="64"/>
      <c r="DD1070" s="118"/>
    </row>
    <row r="1071" spans="1:108" s="119" customFormat="1" outlineLevel="1">
      <c r="A1071" s="178"/>
      <c r="B1071" s="192" t="s">
        <v>2457</v>
      </c>
      <c r="C1071" s="164"/>
      <c r="D1071" s="166"/>
      <c r="E1071" s="163">
        <f t="shared" ref="E1071:T1071" si="264">SUBTOTAL(9,E1017:E1070)</f>
        <v>3</v>
      </c>
      <c r="F1071" s="105">
        <f t="shared" si="264"/>
        <v>3</v>
      </c>
      <c r="G1071" s="105">
        <f t="shared" si="264"/>
        <v>0</v>
      </c>
      <c r="H1071" s="105">
        <f t="shared" si="264"/>
        <v>37817</v>
      </c>
      <c r="I1071" s="105">
        <f t="shared" si="264"/>
        <v>8335</v>
      </c>
      <c r="J1071" s="105">
        <f t="shared" si="264"/>
        <v>67</v>
      </c>
      <c r="K1071" s="105">
        <f t="shared" si="264"/>
        <v>8059</v>
      </c>
      <c r="L1071" s="105">
        <f t="shared" si="264"/>
        <v>127</v>
      </c>
      <c r="M1071" s="105">
        <f t="shared" si="264"/>
        <v>5</v>
      </c>
      <c r="N1071" s="105">
        <f t="shared" si="264"/>
        <v>0</v>
      </c>
      <c r="O1071" s="105">
        <f t="shared" si="264"/>
        <v>6</v>
      </c>
      <c r="P1071" s="105">
        <f t="shared" si="264"/>
        <v>0</v>
      </c>
      <c r="Q1071" s="105">
        <f t="shared" si="264"/>
        <v>0</v>
      </c>
      <c r="R1071" s="105">
        <f t="shared" si="264"/>
        <v>2</v>
      </c>
      <c r="S1071" s="105">
        <f t="shared" si="264"/>
        <v>0</v>
      </c>
      <c r="T1071" s="106">
        <f t="shared" si="264"/>
        <v>506</v>
      </c>
      <c r="U1071" s="130"/>
      <c r="V1071" s="1"/>
      <c r="W1071" s="68">
        <f t="shared" ref="W1071:AD1071" si="265">SUBTOTAL(9,W1017:W1070)</f>
        <v>3080000</v>
      </c>
      <c r="X1071" s="68">
        <f t="shared" si="265"/>
        <v>164815000</v>
      </c>
      <c r="Y1071" s="68">
        <f t="shared" si="265"/>
        <v>12337500</v>
      </c>
      <c r="Z1071" s="68">
        <f t="shared" si="265"/>
        <v>0</v>
      </c>
      <c r="AA1071" s="68">
        <f t="shared" si="265"/>
        <v>0</v>
      </c>
      <c r="AB1071" s="68">
        <f t="shared" si="265"/>
        <v>0</v>
      </c>
      <c r="AC1071" s="69">
        <f t="shared" si="265"/>
        <v>180232500</v>
      </c>
      <c r="AD1071" s="70">
        <f t="shared" si="265"/>
        <v>0</v>
      </c>
      <c r="AE1071" s="63"/>
      <c r="AF1071" s="72"/>
      <c r="AG1071" s="63"/>
      <c r="AH1071" s="23"/>
      <c r="AI1071" s="60"/>
      <c r="AJ1071" s="124"/>
      <c r="AK1071" s="121"/>
      <c r="AL1071" s="107"/>
      <c r="AM1071" s="108"/>
      <c r="AN1071" s="109"/>
      <c r="AO1071" s="108"/>
      <c r="AP1071" s="108"/>
      <c r="AQ1071" s="108"/>
      <c r="AR1071" s="108"/>
      <c r="AS1071" s="108"/>
      <c r="AT1071" s="108"/>
      <c r="AU1071" s="108"/>
      <c r="AV1071" s="108"/>
      <c r="AW1071" s="108"/>
      <c r="AX1071" s="108"/>
      <c r="AY1071" s="108"/>
      <c r="AZ1071" s="108"/>
      <c r="BA1071" s="108"/>
      <c r="BB1071" s="108"/>
      <c r="BC1071" s="108"/>
      <c r="BD1071" s="108"/>
      <c r="BE1071" s="108"/>
      <c r="BF1071" s="108"/>
      <c r="BG1071" s="108"/>
      <c r="BH1071" s="108"/>
      <c r="BI1071" s="108"/>
      <c r="BJ1071" s="108"/>
      <c r="BK1071" s="108"/>
      <c r="BL1071" s="108"/>
      <c r="BM1071" s="108"/>
      <c r="BN1071" s="108"/>
      <c r="BO1071" s="108"/>
      <c r="BP1071" s="108"/>
      <c r="BQ1071" s="108"/>
      <c r="BR1071" s="108"/>
      <c r="BS1071" s="108"/>
      <c r="BT1071" s="108"/>
      <c r="BU1071" s="108"/>
      <c r="BV1071" s="108"/>
      <c r="BW1071" s="108"/>
      <c r="BX1071" s="108"/>
      <c r="BY1071" s="108"/>
      <c r="BZ1071" s="108"/>
      <c r="CA1071" s="108"/>
      <c r="CB1071" s="108"/>
      <c r="CC1071" s="108"/>
      <c r="CD1071" s="108"/>
      <c r="CE1071" s="108"/>
      <c r="CF1071" s="108"/>
      <c r="CG1071" s="108"/>
      <c r="CH1071" s="108"/>
      <c r="CI1071" s="108"/>
      <c r="CJ1071" s="108"/>
      <c r="CK1071" s="108"/>
      <c r="CL1071" s="108"/>
      <c r="CM1071" s="108"/>
      <c r="CN1071" s="110"/>
      <c r="CO1071" s="111"/>
      <c r="CP1071" s="110"/>
      <c r="CQ1071" s="111"/>
      <c r="CR1071" s="110"/>
      <c r="CS1071" s="111"/>
      <c r="CT1071" s="112"/>
      <c r="CU1071" s="113"/>
      <c r="CV1071" s="114"/>
      <c r="CW1071" s="115"/>
      <c r="CX1071" s="116"/>
      <c r="CY1071" s="117"/>
      <c r="CZ1071" s="116"/>
      <c r="DA1071" s="113"/>
      <c r="DB1071" s="114"/>
      <c r="DC1071" s="64"/>
      <c r="DD1071" s="118"/>
    </row>
    <row r="1072" spans="1:108" s="119" customFormat="1" ht="24" outlineLevel="2">
      <c r="A1072" s="178">
        <v>40279</v>
      </c>
      <c r="B1072" s="82" t="s">
        <v>1666</v>
      </c>
      <c r="C1072" s="82" t="s">
        <v>529</v>
      </c>
      <c r="D1072" s="165" t="s">
        <v>1262</v>
      </c>
      <c r="E1072" s="167"/>
      <c r="F1072" s="66"/>
      <c r="G1072" s="66"/>
      <c r="H1072" s="66">
        <v>50</v>
      </c>
      <c r="I1072" s="66">
        <v>10</v>
      </c>
      <c r="J1072" s="66"/>
      <c r="K1072" s="66">
        <v>10</v>
      </c>
      <c r="L1072" s="66"/>
      <c r="M1072" s="66"/>
      <c r="N1072" s="66"/>
      <c r="O1072" s="66"/>
      <c r="P1072" s="66"/>
      <c r="Q1072" s="66"/>
      <c r="R1072" s="66"/>
      <c r="S1072" s="66"/>
      <c r="T1072" s="67"/>
      <c r="U1072" s="151"/>
      <c r="V1072" s="1"/>
      <c r="W1072" s="68">
        <f t="shared" ref="W1072:W1103" si="266">CT1072</f>
        <v>0</v>
      </c>
      <c r="X1072" s="68">
        <f t="shared" ref="X1072:X1103" si="267">CX1072</f>
        <v>0</v>
      </c>
      <c r="Y1072" s="68">
        <f t="shared" ref="Y1072:Y1082" si="268">CZ1072+DB1072</f>
        <v>0</v>
      </c>
      <c r="Z1072" s="68">
        <f t="shared" ref="Z1072:Z1103" si="269">CV1072</f>
        <v>0</v>
      </c>
      <c r="AA1072" s="68"/>
      <c r="AB1072" s="68">
        <v>0</v>
      </c>
      <c r="AC1072" s="69">
        <f t="shared" ref="AC1072:AC1103" si="270">W1072+X1072+Y1072+Z1072+AA1072+AB1072</f>
        <v>0</v>
      </c>
      <c r="AD1072" s="70">
        <v>0</v>
      </c>
      <c r="AE1072" s="63">
        <v>40280</v>
      </c>
      <c r="AF1072" s="72"/>
      <c r="AG1072" s="63" t="s">
        <v>938</v>
      </c>
      <c r="AH1072" s="23" t="s">
        <v>939</v>
      </c>
      <c r="AI1072" s="60"/>
      <c r="AJ1072" s="133" t="s">
        <v>1608</v>
      </c>
      <c r="AK1072" s="73" t="s">
        <v>530</v>
      </c>
      <c r="AL1072" s="3"/>
      <c r="AM1072" s="4"/>
      <c r="AN1072" s="5"/>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6"/>
      <c r="CO1072" s="7"/>
      <c r="CP1072" s="6"/>
      <c r="CQ1072" s="7"/>
      <c r="CR1072" s="6"/>
      <c r="CS1072" s="7"/>
      <c r="CT1072" s="8">
        <f t="shared" ref="CT1072:CT1103" si="271">AM1072+AO1072+AQ1072+AS1072+AU1072+AW1072+AY1072+BA1072+BC1072+BE1072+BG1072+BI1072+BK1072+BM1072+BO1072+BQ1072+BS1072+BU1072+BW1072+BY1072+CA1072+CC1072+CE1072+CG1072+CI1072+CK1072+CM1072+CO1072+CQ1072+CS1072</f>
        <v>0</v>
      </c>
      <c r="CU1072" s="9"/>
      <c r="CV1072" s="10"/>
      <c r="CW1072" s="11"/>
      <c r="CX1072" s="12"/>
      <c r="CY1072" s="26"/>
      <c r="CZ1072" s="12"/>
      <c r="DA1072" s="9"/>
      <c r="DB1072" s="10"/>
      <c r="DC1072" s="64"/>
      <c r="DD1072" s="22"/>
    </row>
    <row r="1073" spans="1:108" s="119" customFormat="1" ht="24" outlineLevel="2">
      <c r="A1073" s="178">
        <v>40285</v>
      </c>
      <c r="B1073" s="82" t="s">
        <v>1666</v>
      </c>
      <c r="C1073" s="82" t="s">
        <v>1387</v>
      </c>
      <c r="D1073" s="165" t="s">
        <v>435</v>
      </c>
      <c r="E1073" s="167"/>
      <c r="F1073" s="66"/>
      <c r="G1073" s="66"/>
      <c r="H1073" s="66"/>
      <c r="I1073" s="66"/>
      <c r="J1073" s="66"/>
      <c r="K1073" s="66"/>
      <c r="L1073" s="66">
        <v>1</v>
      </c>
      <c r="M1073" s="66"/>
      <c r="N1073" s="66"/>
      <c r="O1073" s="66"/>
      <c r="P1073" s="66"/>
      <c r="Q1073" s="66"/>
      <c r="R1073" s="66"/>
      <c r="S1073" s="66"/>
      <c r="T1073" s="67"/>
      <c r="U1073" s="151"/>
      <c r="V1073" s="1"/>
      <c r="W1073" s="68">
        <f t="shared" si="266"/>
        <v>0</v>
      </c>
      <c r="X1073" s="68">
        <f t="shared" si="267"/>
        <v>0</v>
      </c>
      <c r="Y1073" s="68">
        <f t="shared" si="268"/>
        <v>0</v>
      </c>
      <c r="Z1073" s="68">
        <f t="shared" si="269"/>
        <v>0</v>
      </c>
      <c r="AA1073" s="68"/>
      <c r="AB1073" s="68">
        <v>0</v>
      </c>
      <c r="AC1073" s="69">
        <f t="shared" si="270"/>
        <v>0</v>
      </c>
      <c r="AD1073" s="70">
        <v>0</v>
      </c>
      <c r="AE1073" s="63">
        <v>40286</v>
      </c>
      <c r="AF1073" s="72"/>
      <c r="AG1073" s="63" t="s">
        <v>938</v>
      </c>
      <c r="AH1073" s="23" t="s">
        <v>939</v>
      </c>
      <c r="AI1073" s="60"/>
      <c r="AJ1073" s="133" t="s">
        <v>1608</v>
      </c>
      <c r="AK1073" s="73" t="s">
        <v>1706</v>
      </c>
      <c r="AL1073" s="3"/>
      <c r="AM1073" s="4"/>
      <c r="AN1073" s="5"/>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6"/>
      <c r="CO1073" s="7"/>
      <c r="CP1073" s="6"/>
      <c r="CQ1073" s="7"/>
      <c r="CR1073" s="6"/>
      <c r="CS1073" s="7"/>
      <c r="CT1073" s="8">
        <f t="shared" si="271"/>
        <v>0</v>
      </c>
      <c r="CU1073" s="9"/>
      <c r="CV1073" s="10"/>
      <c r="CW1073" s="11"/>
      <c r="CX1073" s="12"/>
      <c r="CY1073" s="26"/>
      <c r="CZ1073" s="12"/>
      <c r="DA1073" s="9"/>
      <c r="DB1073" s="10"/>
      <c r="DC1073" s="64"/>
      <c r="DD1073" s="22"/>
    </row>
    <row r="1074" spans="1:108" s="119" customFormat="1" ht="24" outlineLevel="2">
      <c r="A1074" s="178">
        <v>40289</v>
      </c>
      <c r="B1074" s="82" t="s">
        <v>1666</v>
      </c>
      <c r="C1074" s="82" t="s">
        <v>1687</v>
      </c>
      <c r="D1074" s="165" t="s">
        <v>435</v>
      </c>
      <c r="E1074" s="167"/>
      <c r="F1074" s="66"/>
      <c r="G1074" s="66"/>
      <c r="H1074" s="66">
        <v>5</v>
      </c>
      <c r="I1074" s="66">
        <v>1</v>
      </c>
      <c r="J1074" s="66"/>
      <c r="K1074" s="66">
        <v>1</v>
      </c>
      <c r="L1074" s="66"/>
      <c r="M1074" s="66"/>
      <c r="N1074" s="66"/>
      <c r="O1074" s="66"/>
      <c r="P1074" s="66"/>
      <c r="Q1074" s="66"/>
      <c r="R1074" s="66"/>
      <c r="S1074" s="66"/>
      <c r="T1074" s="67"/>
      <c r="U1074" s="151" t="s">
        <v>1253</v>
      </c>
      <c r="V1074" s="1"/>
      <c r="W1074" s="68">
        <f t="shared" si="266"/>
        <v>0</v>
      </c>
      <c r="X1074" s="68">
        <f t="shared" si="267"/>
        <v>0</v>
      </c>
      <c r="Y1074" s="68">
        <f t="shared" si="268"/>
        <v>0</v>
      </c>
      <c r="Z1074" s="68">
        <f t="shared" si="269"/>
        <v>0</v>
      </c>
      <c r="AA1074" s="68"/>
      <c r="AB1074" s="68">
        <v>0</v>
      </c>
      <c r="AC1074" s="69">
        <f t="shared" si="270"/>
        <v>0</v>
      </c>
      <c r="AD1074" s="70">
        <v>0</v>
      </c>
      <c r="AE1074" s="63">
        <v>40290</v>
      </c>
      <c r="AF1074" s="72"/>
      <c r="AG1074" s="63" t="s">
        <v>938</v>
      </c>
      <c r="AH1074" s="23" t="s">
        <v>939</v>
      </c>
      <c r="AI1074" s="60"/>
      <c r="AJ1074" s="133" t="s">
        <v>1608</v>
      </c>
      <c r="AK1074" s="73" t="s">
        <v>1254</v>
      </c>
      <c r="AL1074" s="3"/>
      <c r="AM1074" s="4"/>
      <c r="AN1074" s="5"/>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6"/>
      <c r="CO1074" s="7"/>
      <c r="CP1074" s="6"/>
      <c r="CQ1074" s="7"/>
      <c r="CR1074" s="6"/>
      <c r="CS1074" s="7"/>
      <c r="CT1074" s="8">
        <f t="shared" si="271"/>
        <v>0</v>
      </c>
      <c r="CU1074" s="9"/>
      <c r="CV1074" s="10"/>
      <c r="CW1074" s="11"/>
      <c r="CX1074" s="12"/>
      <c r="CY1074" s="26"/>
      <c r="CZ1074" s="12"/>
      <c r="DA1074" s="9"/>
      <c r="DB1074" s="10"/>
      <c r="DC1074" s="64"/>
      <c r="DD1074" s="22"/>
    </row>
    <row r="1075" spans="1:108" s="119" customFormat="1" ht="24.75" outlineLevel="2">
      <c r="A1075" s="178">
        <v>40289</v>
      </c>
      <c r="B1075" s="82" t="s">
        <v>1666</v>
      </c>
      <c r="C1075" s="82" t="s">
        <v>1387</v>
      </c>
      <c r="D1075" s="165" t="s">
        <v>435</v>
      </c>
      <c r="E1075" s="167"/>
      <c r="F1075" s="66"/>
      <c r="G1075" s="66"/>
      <c r="H1075" s="66">
        <v>15</v>
      </c>
      <c r="I1075" s="66">
        <v>3</v>
      </c>
      <c r="J1075" s="66"/>
      <c r="K1075" s="66">
        <v>3</v>
      </c>
      <c r="L1075" s="66"/>
      <c r="M1075" s="66"/>
      <c r="N1075" s="66"/>
      <c r="O1075" s="66"/>
      <c r="P1075" s="66"/>
      <c r="Q1075" s="66"/>
      <c r="R1075" s="66"/>
      <c r="S1075" s="66"/>
      <c r="T1075" s="67"/>
      <c r="U1075" s="151" t="s">
        <v>1267</v>
      </c>
      <c r="V1075" s="1"/>
      <c r="W1075" s="68">
        <f t="shared" si="266"/>
        <v>0</v>
      </c>
      <c r="X1075" s="68">
        <f t="shared" si="267"/>
        <v>0</v>
      </c>
      <c r="Y1075" s="68">
        <f t="shared" si="268"/>
        <v>0</v>
      </c>
      <c r="Z1075" s="68">
        <f t="shared" si="269"/>
        <v>0</v>
      </c>
      <c r="AA1075" s="68"/>
      <c r="AB1075" s="68">
        <v>0</v>
      </c>
      <c r="AC1075" s="69">
        <f t="shared" si="270"/>
        <v>0</v>
      </c>
      <c r="AD1075" s="70">
        <v>0</v>
      </c>
      <c r="AE1075" s="63">
        <v>40291</v>
      </c>
      <c r="AF1075" s="72"/>
      <c r="AG1075" s="63" t="s">
        <v>938</v>
      </c>
      <c r="AH1075" s="23" t="s">
        <v>939</v>
      </c>
      <c r="AI1075" s="60"/>
      <c r="AJ1075" s="133" t="s">
        <v>1608</v>
      </c>
      <c r="AK1075" s="73" t="s">
        <v>1266</v>
      </c>
      <c r="AL1075" s="3"/>
      <c r="AM1075" s="4"/>
      <c r="AN1075" s="5"/>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6"/>
      <c r="CO1075" s="7"/>
      <c r="CP1075" s="6"/>
      <c r="CQ1075" s="7"/>
      <c r="CR1075" s="6"/>
      <c r="CS1075" s="7"/>
      <c r="CT1075" s="8">
        <f t="shared" si="271"/>
        <v>0</v>
      </c>
      <c r="CU1075" s="9"/>
      <c r="CV1075" s="10"/>
      <c r="CW1075" s="11"/>
      <c r="CX1075" s="12"/>
      <c r="CY1075" s="26"/>
      <c r="CZ1075" s="12"/>
      <c r="DA1075" s="9"/>
      <c r="DB1075" s="10"/>
      <c r="DC1075" s="64"/>
      <c r="DD1075" s="22"/>
    </row>
    <row r="1076" spans="1:108" s="119" customFormat="1" ht="36" outlineLevel="2">
      <c r="A1076" s="178">
        <v>40308</v>
      </c>
      <c r="B1076" s="82" t="s">
        <v>1666</v>
      </c>
      <c r="C1076" s="82" t="s">
        <v>1677</v>
      </c>
      <c r="D1076" s="165" t="s">
        <v>1200</v>
      </c>
      <c r="E1076" s="167">
        <v>1</v>
      </c>
      <c r="F1076" s="66"/>
      <c r="G1076" s="66"/>
      <c r="H1076" s="66"/>
      <c r="I1076" s="66"/>
      <c r="J1076" s="66"/>
      <c r="K1076" s="66"/>
      <c r="L1076" s="66"/>
      <c r="M1076" s="66"/>
      <c r="N1076" s="66"/>
      <c r="O1076" s="66"/>
      <c r="P1076" s="66"/>
      <c r="Q1076" s="66"/>
      <c r="R1076" s="66"/>
      <c r="S1076" s="66"/>
      <c r="T1076" s="67"/>
      <c r="U1076" s="151"/>
      <c r="V1076" s="1"/>
      <c r="W1076" s="68">
        <f t="shared" si="266"/>
        <v>0</v>
      </c>
      <c r="X1076" s="68">
        <f t="shared" si="267"/>
        <v>0</v>
      </c>
      <c r="Y1076" s="68">
        <f t="shared" si="268"/>
        <v>0</v>
      </c>
      <c r="Z1076" s="68">
        <f t="shared" si="269"/>
        <v>0</v>
      </c>
      <c r="AA1076" s="68"/>
      <c r="AB1076" s="68">
        <v>0</v>
      </c>
      <c r="AC1076" s="69">
        <f t="shared" si="270"/>
        <v>0</v>
      </c>
      <c r="AD1076" s="70">
        <v>0</v>
      </c>
      <c r="AE1076" s="63">
        <v>40309</v>
      </c>
      <c r="AF1076" s="72"/>
      <c r="AG1076" s="63" t="s">
        <v>938</v>
      </c>
      <c r="AH1076" s="23" t="s">
        <v>939</v>
      </c>
      <c r="AI1076" s="60"/>
      <c r="AJ1076" s="133" t="s">
        <v>1608</v>
      </c>
      <c r="AK1076" s="73" t="s">
        <v>1678</v>
      </c>
      <c r="AL1076" s="3"/>
      <c r="AM1076" s="4"/>
      <c r="AN1076" s="5"/>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6"/>
      <c r="CO1076" s="7"/>
      <c r="CP1076" s="6"/>
      <c r="CQ1076" s="7"/>
      <c r="CR1076" s="6"/>
      <c r="CS1076" s="7"/>
      <c r="CT1076" s="8">
        <f t="shared" si="271"/>
        <v>0</v>
      </c>
      <c r="CU1076" s="9"/>
      <c r="CV1076" s="10"/>
      <c r="CW1076" s="11"/>
      <c r="CX1076" s="12"/>
      <c r="CY1076" s="26"/>
      <c r="CZ1076" s="12"/>
      <c r="DA1076" s="9"/>
      <c r="DB1076" s="10"/>
      <c r="DC1076" s="64"/>
      <c r="DD1076" s="22"/>
    </row>
    <row r="1077" spans="1:108" s="119" customFormat="1" ht="36" outlineLevel="2">
      <c r="A1077" s="178">
        <v>40323</v>
      </c>
      <c r="B1077" s="82" t="s">
        <v>1666</v>
      </c>
      <c r="C1077" s="82" t="s">
        <v>1083</v>
      </c>
      <c r="D1077" s="165" t="s">
        <v>1262</v>
      </c>
      <c r="E1077" s="167"/>
      <c r="F1077" s="66"/>
      <c r="G1077" s="66"/>
      <c r="H1077" s="66">
        <v>125</v>
      </c>
      <c r="I1077" s="66">
        <v>26</v>
      </c>
      <c r="J1077" s="66">
        <v>1</v>
      </c>
      <c r="K1077" s="66">
        <v>25</v>
      </c>
      <c r="L1077" s="66"/>
      <c r="M1077" s="66"/>
      <c r="N1077" s="66"/>
      <c r="O1077" s="66"/>
      <c r="P1077" s="66"/>
      <c r="Q1077" s="66"/>
      <c r="R1077" s="66"/>
      <c r="S1077" s="66"/>
      <c r="T1077" s="67"/>
      <c r="U1077" s="151"/>
      <c r="V1077" s="1"/>
      <c r="W1077" s="68">
        <f t="shared" si="266"/>
        <v>0</v>
      </c>
      <c r="X1077" s="68">
        <f t="shared" si="267"/>
        <v>0</v>
      </c>
      <c r="Y1077" s="68">
        <f t="shared" si="268"/>
        <v>0</v>
      </c>
      <c r="Z1077" s="68">
        <f t="shared" si="269"/>
        <v>0</v>
      </c>
      <c r="AA1077" s="68"/>
      <c r="AB1077" s="68">
        <v>0</v>
      </c>
      <c r="AC1077" s="69">
        <f t="shared" si="270"/>
        <v>0</v>
      </c>
      <c r="AD1077" s="70">
        <v>0</v>
      </c>
      <c r="AE1077" s="63">
        <v>40326</v>
      </c>
      <c r="AF1077" s="72"/>
      <c r="AG1077" s="63" t="s">
        <v>938</v>
      </c>
      <c r="AH1077" s="23" t="s">
        <v>939</v>
      </c>
      <c r="AI1077" s="60"/>
      <c r="AJ1077" s="133" t="s">
        <v>1608</v>
      </c>
      <c r="AK1077" s="73" t="s">
        <v>1719</v>
      </c>
      <c r="AL1077" s="3"/>
      <c r="AM1077" s="4"/>
      <c r="AN1077" s="5"/>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6"/>
      <c r="CO1077" s="7"/>
      <c r="CP1077" s="6"/>
      <c r="CQ1077" s="7"/>
      <c r="CR1077" s="6"/>
      <c r="CS1077" s="7"/>
      <c r="CT1077" s="8">
        <f t="shared" si="271"/>
        <v>0</v>
      </c>
      <c r="CU1077" s="9"/>
      <c r="CV1077" s="10"/>
      <c r="CW1077" s="11"/>
      <c r="CX1077" s="12"/>
      <c r="CY1077" s="26"/>
      <c r="CZ1077" s="12"/>
      <c r="DA1077" s="9"/>
      <c r="DB1077" s="10"/>
      <c r="DC1077" s="64"/>
      <c r="DD1077" s="22"/>
    </row>
    <row r="1078" spans="1:108" s="119" customFormat="1" ht="22.5" outlineLevel="2">
      <c r="A1078" s="178">
        <v>40325</v>
      </c>
      <c r="B1078" s="82" t="s">
        <v>1666</v>
      </c>
      <c r="C1078" s="82" t="s">
        <v>1727</v>
      </c>
      <c r="D1078" s="165" t="s">
        <v>1182</v>
      </c>
      <c r="E1078" s="167"/>
      <c r="F1078" s="66"/>
      <c r="G1078" s="66"/>
      <c r="H1078" s="66"/>
      <c r="I1078" s="66"/>
      <c r="J1078" s="66"/>
      <c r="K1078" s="66"/>
      <c r="L1078" s="66">
        <v>1</v>
      </c>
      <c r="M1078" s="66"/>
      <c r="N1078" s="66"/>
      <c r="O1078" s="66"/>
      <c r="P1078" s="66"/>
      <c r="Q1078" s="66"/>
      <c r="R1078" s="66"/>
      <c r="S1078" s="66"/>
      <c r="T1078" s="67"/>
      <c r="U1078" s="151"/>
      <c r="V1078" s="1"/>
      <c r="W1078" s="68">
        <f t="shared" si="266"/>
        <v>0</v>
      </c>
      <c r="X1078" s="68">
        <f t="shared" si="267"/>
        <v>0</v>
      </c>
      <c r="Y1078" s="68">
        <f t="shared" si="268"/>
        <v>0</v>
      </c>
      <c r="Z1078" s="68">
        <f t="shared" si="269"/>
        <v>0</v>
      </c>
      <c r="AA1078" s="68"/>
      <c r="AB1078" s="68">
        <v>0</v>
      </c>
      <c r="AC1078" s="69">
        <f t="shared" si="270"/>
        <v>0</v>
      </c>
      <c r="AD1078" s="70">
        <v>0</v>
      </c>
      <c r="AE1078" s="63">
        <v>40326</v>
      </c>
      <c r="AF1078" s="72"/>
      <c r="AG1078" s="63" t="s">
        <v>938</v>
      </c>
      <c r="AH1078" s="23" t="s">
        <v>939</v>
      </c>
      <c r="AI1078" s="60"/>
      <c r="AJ1078" s="133" t="s">
        <v>1608</v>
      </c>
      <c r="AK1078" s="73" t="s">
        <v>1728</v>
      </c>
      <c r="AL1078" s="3"/>
      <c r="AM1078" s="4"/>
      <c r="AN1078" s="5"/>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6"/>
      <c r="CO1078" s="7"/>
      <c r="CP1078" s="6"/>
      <c r="CQ1078" s="7"/>
      <c r="CR1078" s="6"/>
      <c r="CS1078" s="7"/>
      <c r="CT1078" s="8">
        <f t="shared" si="271"/>
        <v>0</v>
      </c>
      <c r="CU1078" s="9"/>
      <c r="CV1078" s="10"/>
      <c r="CW1078" s="11"/>
      <c r="CX1078" s="12"/>
      <c r="CY1078" s="26"/>
      <c r="CZ1078" s="12"/>
      <c r="DA1078" s="9"/>
      <c r="DB1078" s="10"/>
      <c r="DC1078" s="64"/>
      <c r="DD1078" s="22"/>
    </row>
    <row r="1079" spans="1:108" s="119" customFormat="1" ht="36" outlineLevel="2">
      <c r="A1079" s="178">
        <v>40330</v>
      </c>
      <c r="B1079" s="82" t="s">
        <v>1666</v>
      </c>
      <c r="C1079" s="82" t="s">
        <v>1084</v>
      </c>
      <c r="D1079" s="165" t="s">
        <v>1182</v>
      </c>
      <c r="E1079" s="167"/>
      <c r="F1079" s="66"/>
      <c r="G1079" s="66"/>
      <c r="H1079" s="66"/>
      <c r="I1079" s="66"/>
      <c r="J1079" s="66"/>
      <c r="K1079" s="66"/>
      <c r="L1079" s="66">
        <v>1</v>
      </c>
      <c r="M1079" s="66"/>
      <c r="N1079" s="66"/>
      <c r="O1079" s="66">
        <v>1</v>
      </c>
      <c r="P1079" s="66">
        <v>1</v>
      </c>
      <c r="Q1079" s="66"/>
      <c r="R1079" s="66"/>
      <c r="S1079" s="66"/>
      <c r="T1079" s="67"/>
      <c r="U1079" s="151"/>
      <c r="V1079" s="1"/>
      <c r="W1079" s="68">
        <f t="shared" si="266"/>
        <v>0</v>
      </c>
      <c r="X1079" s="68">
        <f t="shared" si="267"/>
        <v>0</v>
      </c>
      <c r="Y1079" s="68">
        <f t="shared" si="268"/>
        <v>0</v>
      </c>
      <c r="Z1079" s="68">
        <f t="shared" si="269"/>
        <v>0</v>
      </c>
      <c r="AA1079" s="68"/>
      <c r="AB1079" s="68">
        <v>0</v>
      </c>
      <c r="AC1079" s="69">
        <f t="shared" si="270"/>
        <v>0</v>
      </c>
      <c r="AD1079" s="70">
        <v>0</v>
      </c>
      <c r="AE1079" s="63">
        <v>40401</v>
      </c>
      <c r="AF1079" s="72">
        <v>40282</v>
      </c>
      <c r="AG1079" s="63" t="s">
        <v>938</v>
      </c>
      <c r="AH1079" s="23" t="s">
        <v>939</v>
      </c>
      <c r="AI1079" s="60"/>
      <c r="AJ1079" s="133" t="s">
        <v>2064</v>
      </c>
      <c r="AK1079" s="73" t="s">
        <v>2065</v>
      </c>
      <c r="AL1079" s="3"/>
      <c r="AM1079" s="4"/>
      <c r="AN1079" s="5"/>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6"/>
      <c r="CO1079" s="7"/>
      <c r="CP1079" s="6"/>
      <c r="CQ1079" s="7"/>
      <c r="CR1079" s="6"/>
      <c r="CS1079" s="7"/>
      <c r="CT1079" s="8">
        <f t="shared" si="271"/>
        <v>0</v>
      </c>
      <c r="CU1079" s="9"/>
      <c r="CV1079" s="10"/>
      <c r="CW1079" s="11"/>
      <c r="CX1079" s="12"/>
      <c r="CY1079" s="26"/>
      <c r="CZ1079" s="12"/>
      <c r="DA1079" s="9"/>
      <c r="DB1079" s="10"/>
      <c r="DC1079" s="64"/>
      <c r="DD1079" s="22"/>
    </row>
    <row r="1080" spans="1:108" s="119" customFormat="1" ht="24" outlineLevel="2">
      <c r="A1080" s="178">
        <v>40358</v>
      </c>
      <c r="B1080" s="82" t="s">
        <v>1666</v>
      </c>
      <c r="C1080" s="82" t="s">
        <v>2226</v>
      </c>
      <c r="D1080" s="165" t="s">
        <v>1262</v>
      </c>
      <c r="E1080" s="167"/>
      <c r="F1080" s="66"/>
      <c r="G1080" s="66"/>
      <c r="H1080" s="66"/>
      <c r="I1080" s="66"/>
      <c r="J1080" s="66"/>
      <c r="K1080" s="66"/>
      <c r="L1080" s="66">
        <v>1</v>
      </c>
      <c r="M1080" s="66"/>
      <c r="N1080" s="66">
        <v>1</v>
      </c>
      <c r="O1080" s="66"/>
      <c r="P1080" s="66"/>
      <c r="Q1080" s="66"/>
      <c r="R1080" s="66"/>
      <c r="S1080" s="66"/>
      <c r="T1080" s="67"/>
      <c r="U1080" s="151"/>
      <c r="V1080" s="1"/>
      <c r="W1080" s="68">
        <f t="shared" si="266"/>
        <v>0</v>
      </c>
      <c r="X1080" s="68">
        <f t="shared" si="267"/>
        <v>0</v>
      </c>
      <c r="Y1080" s="68">
        <f t="shared" si="268"/>
        <v>0</v>
      </c>
      <c r="Z1080" s="68">
        <f t="shared" si="269"/>
        <v>0</v>
      </c>
      <c r="AA1080" s="68"/>
      <c r="AB1080" s="68">
        <v>0</v>
      </c>
      <c r="AC1080" s="69">
        <f t="shared" si="270"/>
        <v>0</v>
      </c>
      <c r="AD1080" s="70">
        <v>0</v>
      </c>
      <c r="AE1080" s="63">
        <v>40360</v>
      </c>
      <c r="AF1080" s="72"/>
      <c r="AG1080" s="63" t="s">
        <v>938</v>
      </c>
      <c r="AH1080" s="23" t="s">
        <v>939</v>
      </c>
      <c r="AI1080" s="60"/>
      <c r="AJ1080" s="133" t="s">
        <v>1608</v>
      </c>
      <c r="AK1080" s="73" t="s">
        <v>1775</v>
      </c>
      <c r="AL1080" s="3"/>
      <c r="AM1080" s="4"/>
      <c r="AN1080" s="5"/>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6"/>
      <c r="CO1080" s="7"/>
      <c r="CP1080" s="6"/>
      <c r="CQ1080" s="7"/>
      <c r="CR1080" s="6"/>
      <c r="CS1080" s="7"/>
      <c r="CT1080" s="8">
        <f t="shared" si="271"/>
        <v>0</v>
      </c>
      <c r="CU1080" s="9"/>
      <c r="CV1080" s="10"/>
      <c r="CW1080" s="11"/>
      <c r="CX1080" s="12"/>
      <c r="CY1080" s="26"/>
      <c r="CZ1080" s="12"/>
      <c r="DA1080" s="9"/>
      <c r="DB1080" s="10"/>
      <c r="DC1080" s="64"/>
      <c r="DD1080" s="22"/>
    </row>
    <row r="1081" spans="1:108" s="119" customFormat="1" ht="24" outlineLevel="2">
      <c r="A1081" s="178">
        <v>40374</v>
      </c>
      <c r="B1081" s="82" t="s">
        <v>1666</v>
      </c>
      <c r="C1081" s="82" t="s">
        <v>1687</v>
      </c>
      <c r="D1081" s="165" t="s">
        <v>1182</v>
      </c>
      <c r="E1081" s="167"/>
      <c r="F1081" s="66"/>
      <c r="G1081" s="66"/>
      <c r="H1081" s="66">
        <v>11</v>
      </c>
      <c r="I1081" s="66">
        <v>2</v>
      </c>
      <c r="J1081" s="66"/>
      <c r="K1081" s="66">
        <v>2</v>
      </c>
      <c r="L1081" s="66"/>
      <c r="M1081" s="66"/>
      <c r="N1081" s="66"/>
      <c r="O1081" s="66"/>
      <c r="P1081" s="66"/>
      <c r="Q1081" s="66"/>
      <c r="R1081" s="66"/>
      <c r="S1081" s="66"/>
      <c r="T1081" s="67"/>
      <c r="U1081" s="151"/>
      <c r="V1081" s="1"/>
      <c r="W1081" s="68">
        <f t="shared" si="266"/>
        <v>0</v>
      </c>
      <c r="X1081" s="68">
        <f t="shared" si="267"/>
        <v>0</v>
      </c>
      <c r="Y1081" s="68">
        <f t="shared" si="268"/>
        <v>0</v>
      </c>
      <c r="Z1081" s="68">
        <f t="shared" si="269"/>
        <v>0</v>
      </c>
      <c r="AA1081" s="68"/>
      <c r="AB1081" s="68">
        <v>0</v>
      </c>
      <c r="AC1081" s="69">
        <f t="shared" si="270"/>
        <v>0</v>
      </c>
      <c r="AD1081" s="70">
        <v>0</v>
      </c>
      <c r="AE1081" s="63">
        <v>40375</v>
      </c>
      <c r="AF1081" s="72"/>
      <c r="AG1081" s="63" t="s">
        <v>938</v>
      </c>
      <c r="AH1081" s="23" t="s">
        <v>939</v>
      </c>
      <c r="AI1081" s="60"/>
      <c r="AJ1081" s="133" t="s">
        <v>1608</v>
      </c>
      <c r="AK1081" s="73" t="s">
        <v>1426</v>
      </c>
      <c r="AL1081" s="3"/>
      <c r="AM1081" s="4"/>
      <c r="AN1081" s="5"/>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6"/>
      <c r="CO1081" s="7"/>
      <c r="CP1081" s="6"/>
      <c r="CQ1081" s="7"/>
      <c r="CR1081" s="6"/>
      <c r="CS1081" s="7"/>
      <c r="CT1081" s="8">
        <f t="shared" si="271"/>
        <v>0</v>
      </c>
      <c r="CU1081" s="9"/>
      <c r="CV1081" s="10"/>
      <c r="CW1081" s="11"/>
      <c r="CX1081" s="12"/>
      <c r="CY1081" s="26"/>
      <c r="CZ1081" s="12"/>
      <c r="DA1081" s="9"/>
      <c r="DB1081" s="10"/>
      <c r="DC1081" s="64"/>
      <c r="DD1081" s="22"/>
    </row>
    <row r="1082" spans="1:108" s="119" customFormat="1" ht="45" outlineLevel="2">
      <c r="A1082" s="178">
        <v>40388</v>
      </c>
      <c r="B1082" s="82" t="s">
        <v>1666</v>
      </c>
      <c r="C1082" s="82" t="s">
        <v>2226</v>
      </c>
      <c r="D1082" s="165" t="s">
        <v>435</v>
      </c>
      <c r="E1082" s="167"/>
      <c r="F1082" s="66">
        <v>3</v>
      </c>
      <c r="G1082" s="66"/>
      <c r="H1082" s="66">
        <v>830</v>
      </c>
      <c r="I1082" s="66">
        <v>166</v>
      </c>
      <c r="J1082" s="66">
        <v>18</v>
      </c>
      <c r="K1082" s="66">
        <v>20</v>
      </c>
      <c r="L1082" s="66"/>
      <c r="M1082" s="66"/>
      <c r="N1082" s="66">
        <v>5</v>
      </c>
      <c r="O1082" s="66"/>
      <c r="P1082" s="66"/>
      <c r="Q1082" s="66">
        <v>2</v>
      </c>
      <c r="R1082" s="66"/>
      <c r="S1082" s="66"/>
      <c r="T1082" s="67"/>
      <c r="U1082" s="151"/>
      <c r="V1082" s="1">
        <v>40410</v>
      </c>
      <c r="W1082" s="68">
        <f t="shared" si="266"/>
        <v>0</v>
      </c>
      <c r="X1082" s="68">
        <f t="shared" si="267"/>
        <v>0</v>
      </c>
      <c r="Y1082" s="68">
        <f t="shared" si="268"/>
        <v>0</v>
      </c>
      <c r="Z1082" s="68">
        <f t="shared" si="269"/>
        <v>0</v>
      </c>
      <c r="AA1082" s="68">
        <f>1000*23425+112*250125+5000*1092+150*35438</f>
        <v>62214700</v>
      </c>
      <c r="AB1082" s="68">
        <v>0</v>
      </c>
      <c r="AC1082" s="69">
        <f t="shared" si="270"/>
        <v>62214700</v>
      </c>
      <c r="AD1082" s="70">
        <v>0</v>
      </c>
      <c r="AE1082" s="63">
        <v>40389</v>
      </c>
      <c r="AF1082" s="72">
        <v>40659</v>
      </c>
      <c r="AG1082" s="63" t="s">
        <v>954</v>
      </c>
      <c r="AH1082" s="23" t="s">
        <v>955</v>
      </c>
      <c r="AI1082" s="60">
        <v>255</v>
      </c>
      <c r="AJ1082" s="133" t="s">
        <v>415</v>
      </c>
      <c r="AK1082" s="73" t="s">
        <v>1051</v>
      </c>
      <c r="AL1082" s="3"/>
      <c r="AM1082" s="4"/>
      <c r="AN1082" s="5"/>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6"/>
      <c r="CO1082" s="7"/>
      <c r="CP1082" s="6"/>
      <c r="CQ1082" s="7"/>
      <c r="CR1082" s="6"/>
      <c r="CS1082" s="7"/>
      <c r="CT1082" s="8">
        <f t="shared" si="271"/>
        <v>0</v>
      </c>
      <c r="CU1082" s="9"/>
      <c r="CV1082" s="10"/>
      <c r="CW1082" s="11"/>
      <c r="CX1082" s="12"/>
      <c r="CY1082" s="26"/>
      <c r="CZ1082" s="12"/>
      <c r="DA1082" s="9"/>
      <c r="DB1082" s="10"/>
      <c r="DC1082" s="64"/>
      <c r="DD1082" s="22"/>
    </row>
    <row r="1083" spans="1:108" s="119" customFormat="1" ht="36" outlineLevel="2">
      <c r="A1083" s="178">
        <v>40392</v>
      </c>
      <c r="B1083" s="82" t="s">
        <v>1666</v>
      </c>
      <c r="C1083" s="82" t="s">
        <v>1996</v>
      </c>
      <c r="D1083" s="165" t="s">
        <v>1262</v>
      </c>
      <c r="E1083" s="167"/>
      <c r="F1083" s="66"/>
      <c r="G1083" s="66"/>
      <c r="H1083" s="66">
        <f>1500-25-75</f>
        <v>1400</v>
      </c>
      <c r="I1083" s="66">
        <v>323</v>
      </c>
      <c r="J1083" s="66">
        <v>88</v>
      </c>
      <c r="K1083" s="66">
        <v>242</v>
      </c>
      <c r="L1083" s="66"/>
      <c r="M1083" s="66"/>
      <c r="N1083" s="66"/>
      <c r="O1083" s="66"/>
      <c r="P1083" s="66"/>
      <c r="Q1083" s="66"/>
      <c r="R1083" s="66"/>
      <c r="S1083" s="66"/>
      <c r="T1083" s="67"/>
      <c r="U1083" s="151"/>
      <c r="V1083" s="1">
        <v>40514</v>
      </c>
      <c r="W1083" s="68">
        <f t="shared" si="266"/>
        <v>0</v>
      </c>
      <c r="X1083" s="68">
        <f t="shared" si="267"/>
        <v>0</v>
      </c>
      <c r="Y1083" s="68">
        <f>500*21315+600*19952+160*200000.24+2000*994.12+3000*104.4</f>
        <v>56930178.399999999</v>
      </c>
      <c r="Z1083" s="68">
        <f t="shared" si="269"/>
        <v>0</v>
      </c>
      <c r="AA1083" s="68"/>
      <c r="AB1083" s="68">
        <v>0</v>
      </c>
      <c r="AC1083" s="69">
        <f t="shared" si="270"/>
        <v>56930178.399999999</v>
      </c>
      <c r="AD1083" s="70">
        <v>0</v>
      </c>
      <c r="AE1083" s="63">
        <v>40393</v>
      </c>
      <c r="AF1083" s="72">
        <v>48682</v>
      </c>
      <c r="AG1083" s="63" t="s">
        <v>954</v>
      </c>
      <c r="AH1083" s="23" t="s">
        <v>955</v>
      </c>
      <c r="AI1083" s="60">
        <v>25687</v>
      </c>
      <c r="AJ1083" s="133" t="s">
        <v>1323</v>
      </c>
      <c r="AK1083" s="73" t="s">
        <v>1997</v>
      </c>
      <c r="AL1083" s="3"/>
      <c r="AM1083" s="4"/>
      <c r="AN1083" s="5"/>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6"/>
      <c r="CO1083" s="7"/>
      <c r="CP1083" s="6"/>
      <c r="CQ1083" s="7"/>
      <c r="CR1083" s="6"/>
      <c r="CS1083" s="7"/>
      <c r="CT1083" s="8">
        <f t="shared" si="271"/>
        <v>0</v>
      </c>
      <c r="CU1083" s="9"/>
      <c r="CV1083" s="10"/>
      <c r="CW1083" s="11"/>
      <c r="CX1083" s="12"/>
      <c r="CY1083" s="26"/>
      <c r="CZ1083" s="12"/>
      <c r="DA1083" s="9"/>
      <c r="DB1083" s="10"/>
      <c r="DC1083" s="64"/>
      <c r="DD1083" s="22"/>
    </row>
    <row r="1084" spans="1:108" s="119" customFormat="1" ht="60" outlineLevel="2">
      <c r="A1084" s="178">
        <v>40393</v>
      </c>
      <c r="B1084" s="82" t="s">
        <v>1666</v>
      </c>
      <c r="C1084" s="82" t="s">
        <v>1486</v>
      </c>
      <c r="D1084" s="165" t="s">
        <v>1200</v>
      </c>
      <c r="E1084" s="167"/>
      <c r="F1084" s="66"/>
      <c r="G1084" s="66"/>
      <c r="H1084" s="66">
        <v>500</v>
      </c>
      <c r="I1084" s="66">
        <v>100</v>
      </c>
      <c r="J1084" s="66">
        <v>32</v>
      </c>
      <c r="K1084" s="66">
        <v>61</v>
      </c>
      <c r="L1084" s="66">
        <v>2</v>
      </c>
      <c r="M1084" s="66"/>
      <c r="N1084" s="66"/>
      <c r="O1084" s="66">
        <v>1</v>
      </c>
      <c r="P1084" s="66">
        <v>1</v>
      </c>
      <c r="Q1084" s="66">
        <v>1</v>
      </c>
      <c r="R1084" s="66"/>
      <c r="S1084" s="66">
        <v>1</v>
      </c>
      <c r="T1084" s="67"/>
      <c r="U1084" s="151"/>
      <c r="V1084" s="1"/>
      <c r="W1084" s="68">
        <f t="shared" si="266"/>
        <v>0</v>
      </c>
      <c r="X1084" s="68">
        <f t="shared" si="267"/>
        <v>0</v>
      </c>
      <c r="Y1084" s="68">
        <f>CZ1084+DB1084</f>
        <v>0</v>
      </c>
      <c r="Z1084" s="68">
        <f t="shared" si="269"/>
        <v>0</v>
      </c>
      <c r="AA1084" s="68"/>
      <c r="AB1084" s="68">
        <v>0</v>
      </c>
      <c r="AC1084" s="69">
        <f t="shared" si="270"/>
        <v>0</v>
      </c>
      <c r="AD1084" s="70">
        <v>0</v>
      </c>
      <c r="AE1084" s="63">
        <v>40394</v>
      </c>
      <c r="AF1084" s="72"/>
      <c r="AG1084" s="63" t="s">
        <v>938</v>
      </c>
      <c r="AH1084" s="23" t="s">
        <v>939</v>
      </c>
      <c r="AI1084" s="60"/>
      <c r="AJ1084" s="133" t="s">
        <v>1608</v>
      </c>
      <c r="AK1084" s="73" t="s">
        <v>1487</v>
      </c>
      <c r="AL1084" s="3"/>
      <c r="AM1084" s="4"/>
      <c r="AN1084" s="5"/>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6"/>
      <c r="CO1084" s="7"/>
      <c r="CP1084" s="6"/>
      <c r="CQ1084" s="7"/>
      <c r="CR1084" s="6"/>
      <c r="CS1084" s="7"/>
      <c r="CT1084" s="8">
        <f t="shared" si="271"/>
        <v>0</v>
      </c>
      <c r="CU1084" s="9"/>
      <c r="CV1084" s="10"/>
      <c r="CW1084" s="11"/>
      <c r="CX1084" s="12"/>
      <c r="CY1084" s="26"/>
      <c r="CZ1084" s="12"/>
      <c r="DA1084" s="9"/>
      <c r="DB1084" s="10"/>
      <c r="DC1084" s="64"/>
      <c r="DD1084" s="22"/>
    </row>
    <row r="1085" spans="1:108" s="119" customFormat="1" ht="45" outlineLevel="2">
      <c r="A1085" s="178">
        <v>40393</v>
      </c>
      <c r="B1085" s="175" t="s">
        <v>1666</v>
      </c>
      <c r="C1085" s="82" t="s">
        <v>1995</v>
      </c>
      <c r="D1085" s="165" t="s">
        <v>1200</v>
      </c>
      <c r="E1085" s="167">
        <v>1</v>
      </c>
      <c r="F1085" s="66">
        <v>5</v>
      </c>
      <c r="G1085" s="66">
        <v>2</v>
      </c>
      <c r="H1085" s="66">
        <v>735</v>
      </c>
      <c r="I1085" s="66">
        <v>147</v>
      </c>
      <c r="J1085" s="66">
        <v>37</v>
      </c>
      <c r="K1085" s="66">
        <v>103</v>
      </c>
      <c r="L1085" s="66">
        <v>5</v>
      </c>
      <c r="M1085" s="66"/>
      <c r="N1085" s="66"/>
      <c r="O1085" s="66"/>
      <c r="P1085" s="66"/>
      <c r="Q1085" s="66"/>
      <c r="R1085" s="66">
        <v>1</v>
      </c>
      <c r="S1085" s="66"/>
      <c r="T1085" s="67"/>
      <c r="U1085" s="151" t="s">
        <v>1490</v>
      </c>
      <c r="V1085" s="1">
        <v>40410</v>
      </c>
      <c r="W1085" s="68">
        <f t="shared" si="266"/>
        <v>0</v>
      </c>
      <c r="X1085" s="68">
        <f t="shared" si="267"/>
        <v>0</v>
      </c>
      <c r="Y1085" s="68">
        <f>CZ1085+DB1085</f>
        <v>0</v>
      </c>
      <c r="Z1085" s="68">
        <f t="shared" si="269"/>
        <v>0</v>
      </c>
      <c r="AA1085" s="68">
        <f>650*23425+45*29455+2000*1092</f>
        <v>18735725</v>
      </c>
      <c r="AB1085" s="68">
        <v>0</v>
      </c>
      <c r="AC1085" s="69">
        <f t="shared" si="270"/>
        <v>18735725</v>
      </c>
      <c r="AD1085" s="70">
        <v>0</v>
      </c>
      <c r="AE1085" s="63">
        <v>40393</v>
      </c>
      <c r="AF1085" s="72">
        <v>40659</v>
      </c>
      <c r="AG1085" s="63" t="s">
        <v>954</v>
      </c>
      <c r="AH1085" s="23" t="s">
        <v>955</v>
      </c>
      <c r="AI1085" s="60">
        <v>255</v>
      </c>
      <c r="AJ1085" s="133" t="s">
        <v>415</v>
      </c>
      <c r="AK1085" s="73" t="s">
        <v>1485</v>
      </c>
      <c r="AL1085" s="3"/>
      <c r="AM1085" s="4"/>
      <c r="AN1085" s="5"/>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6"/>
      <c r="CO1085" s="7"/>
      <c r="CP1085" s="6"/>
      <c r="CQ1085" s="7"/>
      <c r="CR1085" s="6"/>
      <c r="CS1085" s="7"/>
      <c r="CT1085" s="8">
        <f t="shared" si="271"/>
        <v>0</v>
      </c>
      <c r="CU1085" s="9"/>
      <c r="CV1085" s="10"/>
      <c r="CW1085" s="11"/>
      <c r="CX1085" s="12"/>
      <c r="CY1085" s="26"/>
      <c r="CZ1085" s="12"/>
      <c r="DA1085" s="9"/>
      <c r="DB1085" s="10"/>
      <c r="DC1085" s="64"/>
      <c r="DD1085" s="22"/>
    </row>
    <row r="1086" spans="1:108" s="119" customFormat="1" ht="132" outlineLevel="2">
      <c r="A1086" s="178">
        <v>40407</v>
      </c>
      <c r="B1086" s="164" t="s">
        <v>1666</v>
      </c>
      <c r="C1086" s="164" t="s">
        <v>1677</v>
      </c>
      <c r="D1086" s="166" t="s">
        <v>1262</v>
      </c>
      <c r="E1086" s="163"/>
      <c r="F1086" s="105"/>
      <c r="G1086" s="105"/>
      <c r="H1086" s="105">
        <f>55*5</f>
        <v>275</v>
      </c>
      <c r="I1086" s="105">
        <v>55</v>
      </c>
      <c r="J1086" s="105"/>
      <c r="K1086" s="105">
        <v>55</v>
      </c>
      <c r="L1086" s="105">
        <v>6</v>
      </c>
      <c r="M1086" s="105"/>
      <c r="N1086" s="105">
        <v>1</v>
      </c>
      <c r="O1086" s="105">
        <v>1</v>
      </c>
      <c r="P1086" s="105"/>
      <c r="Q1086" s="105"/>
      <c r="R1086" s="105"/>
      <c r="S1086" s="105"/>
      <c r="T1086" s="106"/>
      <c r="U1086" s="130" t="s">
        <v>414</v>
      </c>
      <c r="V1086" s="1">
        <v>40515</v>
      </c>
      <c r="W1086" s="68">
        <f t="shared" si="266"/>
        <v>0</v>
      </c>
      <c r="X1086" s="68">
        <f t="shared" si="267"/>
        <v>0</v>
      </c>
      <c r="Y1086" s="68">
        <f>800*21315+550*19952+4000*994.12+20*200000.24+100*140000.4+4800*104.4</f>
        <v>50503244.799999997</v>
      </c>
      <c r="Z1086" s="68">
        <f t="shared" si="269"/>
        <v>0</v>
      </c>
      <c r="AA1086" s="68"/>
      <c r="AB1086" s="68">
        <v>0</v>
      </c>
      <c r="AC1086" s="69">
        <f t="shared" si="270"/>
        <v>50503244.799999997</v>
      </c>
      <c r="AD1086" s="70">
        <v>0</v>
      </c>
      <c r="AE1086" s="63">
        <v>40441</v>
      </c>
      <c r="AF1086" s="79" t="s">
        <v>1324</v>
      </c>
      <c r="AG1086" s="63" t="s">
        <v>954</v>
      </c>
      <c r="AH1086" s="23" t="s">
        <v>955</v>
      </c>
      <c r="AI1086" s="60">
        <v>25687</v>
      </c>
      <c r="AJ1086" s="124" t="s">
        <v>1322</v>
      </c>
      <c r="AK1086" s="121" t="s">
        <v>2142</v>
      </c>
      <c r="AL1086" s="107"/>
      <c r="AM1086" s="108"/>
      <c r="AN1086" s="109"/>
      <c r="AO1086" s="108"/>
      <c r="AP1086" s="108"/>
      <c r="AQ1086" s="108"/>
      <c r="AR1086" s="108"/>
      <c r="AS1086" s="108"/>
      <c r="AT1086" s="108"/>
      <c r="AU1086" s="108"/>
      <c r="AV1086" s="108"/>
      <c r="AW1086" s="108"/>
      <c r="AX1086" s="108"/>
      <c r="AY1086" s="108"/>
      <c r="AZ1086" s="108"/>
      <c r="BA1086" s="108"/>
      <c r="BB1086" s="108"/>
      <c r="BC1086" s="108"/>
      <c r="BD1086" s="108"/>
      <c r="BE1086" s="108"/>
      <c r="BF1086" s="108"/>
      <c r="BG1086" s="108"/>
      <c r="BH1086" s="108"/>
      <c r="BI1086" s="108"/>
      <c r="BJ1086" s="108"/>
      <c r="BK1086" s="108"/>
      <c r="BL1086" s="108"/>
      <c r="BM1086" s="108"/>
      <c r="BN1086" s="108"/>
      <c r="BO1086" s="108"/>
      <c r="BP1086" s="108"/>
      <c r="BQ1086" s="108"/>
      <c r="BR1086" s="108"/>
      <c r="BS1086" s="108"/>
      <c r="BT1086" s="108"/>
      <c r="BU1086" s="108"/>
      <c r="BV1086" s="108"/>
      <c r="BW1086" s="108"/>
      <c r="BX1086" s="108"/>
      <c r="BY1086" s="108"/>
      <c r="BZ1086" s="108"/>
      <c r="CA1086" s="108"/>
      <c r="CB1086" s="108"/>
      <c r="CC1086" s="108"/>
      <c r="CD1086" s="108"/>
      <c r="CE1086" s="108"/>
      <c r="CF1086" s="108"/>
      <c r="CG1086" s="108"/>
      <c r="CH1086" s="108"/>
      <c r="CI1086" s="108"/>
      <c r="CJ1086" s="108"/>
      <c r="CK1086" s="108"/>
      <c r="CL1086" s="108"/>
      <c r="CM1086" s="108"/>
      <c r="CN1086" s="110"/>
      <c r="CO1086" s="111"/>
      <c r="CP1086" s="110"/>
      <c r="CQ1086" s="111"/>
      <c r="CR1086" s="110"/>
      <c r="CS1086" s="111"/>
      <c r="CT1086" s="112">
        <f t="shared" si="271"/>
        <v>0</v>
      </c>
      <c r="CU1086" s="113"/>
      <c r="CV1086" s="114"/>
      <c r="CW1086" s="115"/>
      <c r="CX1086" s="116"/>
      <c r="CY1086" s="117"/>
      <c r="CZ1086" s="116"/>
      <c r="DA1086" s="113"/>
      <c r="DB1086" s="114"/>
      <c r="DC1086" s="64"/>
      <c r="DD1086" s="118">
        <v>1284</v>
      </c>
    </row>
    <row r="1087" spans="1:108" s="119" customFormat="1" ht="22.5" outlineLevel="2">
      <c r="A1087" s="178">
        <v>40407</v>
      </c>
      <c r="B1087" s="82" t="s">
        <v>1666</v>
      </c>
      <c r="C1087" s="82" t="s">
        <v>1549</v>
      </c>
      <c r="D1087" s="165" t="s">
        <v>435</v>
      </c>
      <c r="E1087" s="167"/>
      <c r="F1087" s="66"/>
      <c r="G1087" s="66"/>
      <c r="H1087" s="66"/>
      <c r="I1087" s="66"/>
      <c r="J1087" s="66"/>
      <c r="K1087" s="66"/>
      <c r="L1087" s="66"/>
      <c r="M1087" s="66"/>
      <c r="N1087" s="66"/>
      <c r="O1087" s="66"/>
      <c r="P1087" s="66"/>
      <c r="Q1087" s="66"/>
      <c r="R1087" s="66"/>
      <c r="S1087" s="66"/>
      <c r="T1087" s="67"/>
      <c r="U1087" s="151"/>
      <c r="V1087" s="1"/>
      <c r="W1087" s="68">
        <f t="shared" si="266"/>
        <v>0</v>
      </c>
      <c r="X1087" s="68">
        <f t="shared" si="267"/>
        <v>0</v>
      </c>
      <c r="Y1087" s="68">
        <f>CZ1087+DB1087</f>
        <v>0</v>
      </c>
      <c r="Z1087" s="68">
        <f t="shared" si="269"/>
        <v>0</v>
      </c>
      <c r="AA1087" s="68"/>
      <c r="AB1087" s="68">
        <v>0</v>
      </c>
      <c r="AC1087" s="69">
        <f t="shared" si="270"/>
        <v>0</v>
      </c>
      <c r="AD1087" s="70">
        <v>0</v>
      </c>
      <c r="AE1087" s="63">
        <v>40408</v>
      </c>
      <c r="AF1087" s="72"/>
      <c r="AG1087" s="63" t="s">
        <v>938</v>
      </c>
      <c r="AH1087" s="23" t="s">
        <v>939</v>
      </c>
      <c r="AI1087" s="60"/>
      <c r="AJ1087" s="133" t="s">
        <v>1608</v>
      </c>
      <c r="AK1087" s="73" t="s">
        <v>1550</v>
      </c>
      <c r="AL1087" s="3"/>
      <c r="AM1087" s="4"/>
      <c r="AN1087" s="5"/>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6"/>
      <c r="CO1087" s="7"/>
      <c r="CP1087" s="6"/>
      <c r="CQ1087" s="7"/>
      <c r="CR1087" s="6"/>
      <c r="CS1087" s="7"/>
      <c r="CT1087" s="8">
        <f t="shared" si="271"/>
        <v>0</v>
      </c>
      <c r="CU1087" s="9"/>
      <c r="CV1087" s="10"/>
      <c r="CW1087" s="11"/>
      <c r="CX1087" s="12"/>
      <c r="CY1087" s="26"/>
      <c r="CZ1087" s="12"/>
      <c r="DA1087" s="9"/>
      <c r="DB1087" s="10"/>
      <c r="DC1087" s="64"/>
      <c r="DD1087" s="22"/>
    </row>
    <row r="1088" spans="1:108" s="119" customFormat="1" ht="72" outlineLevel="2">
      <c r="A1088" s="178">
        <v>40418</v>
      </c>
      <c r="B1088" s="164" t="s">
        <v>1666</v>
      </c>
      <c r="C1088" s="174" t="s">
        <v>1113</v>
      </c>
      <c r="D1088" s="179" t="s">
        <v>1262</v>
      </c>
      <c r="E1088" s="163"/>
      <c r="F1088" s="105"/>
      <c r="G1088" s="105"/>
      <c r="H1088" s="105">
        <f>115-40</f>
        <v>75</v>
      </c>
      <c r="I1088" s="105">
        <v>15</v>
      </c>
      <c r="J1088" s="105"/>
      <c r="K1088" s="105">
        <v>15</v>
      </c>
      <c r="L1088" s="105"/>
      <c r="M1088" s="105"/>
      <c r="N1088" s="105"/>
      <c r="O1088" s="105"/>
      <c r="P1088" s="105"/>
      <c r="Q1088" s="105"/>
      <c r="R1088" s="105"/>
      <c r="S1088" s="105"/>
      <c r="T1088" s="106"/>
      <c r="U1088" s="130"/>
      <c r="V1088" s="1">
        <v>40511</v>
      </c>
      <c r="W1088" s="68">
        <f t="shared" si="266"/>
        <v>0</v>
      </c>
      <c r="X1088" s="68">
        <f t="shared" si="267"/>
        <v>0</v>
      </c>
      <c r="Y1088" s="68">
        <f>600*21315+2000*104.4+200*21460+120*19952+100*12992</f>
        <v>20983240</v>
      </c>
      <c r="Z1088" s="68">
        <f t="shared" si="269"/>
        <v>0</v>
      </c>
      <c r="AA1088" s="68"/>
      <c r="AB1088" s="68">
        <v>0</v>
      </c>
      <c r="AC1088" s="69">
        <f t="shared" si="270"/>
        <v>20983240</v>
      </c>
      <c r="AD1088" s="70">
        <v>0</v>
      </c>
      <c r="AE1088" s="63">
        <v>40435</v>
      </c>
      <c r="AF1088" s="72">
        <v>57402</v>
      </c>
      <c r="AG1088" s="63" t="s">
        <v>954</v>
      </c>
      <c r="AH1088" s="23" t="s">
        <v>955</v>
      </c>
      <c r="AI1088" s="60">
        <v>24569</v>
      </c>
      <c r="AJ1088" s="124" t="s">
        <v>1779</v>
      </c>
      <c r="AK1088" s="121" t="s">
        <v>1963</v>
      </c>
      <c r="AL1088" s="107"/>
      <c r="AM1088" s="108"/>
      <c r="AN1088" s="109"/>
      <c r="AO1088" s="108"/>
      <c r="AP1088" s="108"/>
      <c r="AQ1088" s="108"/>
      <c r="AR1088" s="108"/>
      <c r="AS1088" s="108"/>
      <c r="AT1088" s="108"/>
      <c r="AU1088" s="108"/>
      <c r="AV1088" s="108"/>
      <c r="AW1088" s="108"/>
      <c r="AX1088" s="108"/>
      <c r="AY1088" s="108"/>
      <c r="AZ1088" s="108"/>
      <c r="BA1088" s="108"/>
      <c r="BB1088" s="108"/>
      <c r="BC1088" s="108"/>
      <c r="BD1088" s="108"/>
      <c r="BE1088" s="108"/>
      <c r="BF1088" s="108"/>
      <c r="BG1088" s="108"/>
      <c r="BH1088" s="108"/>
      <c r="BI1088" s="108"/>
      <c r="BJ1088" s="108"/>
      <c r="BK1088" s="108"/>
      <c r="BL1088" s="108"/>
      <c r="BM1088" s="108"/>
      <c r="BN1088" s="108"/>
      <c r="BO1088" s="108"/>
      <c r="BP1088" s="108"/>
      <c r="BQ1088" s="108"/>
      <c r="BR1088" s="108"/>
      <c r="BS1088" s="108"/>
      <c r="BT1088" s="108"/>
      <c r="BU1088" s="108"/>
      <c r="BV1088" s="108"/>
      <c r="BW1088" s="108"/>
      <c r="BX1088" s="108"/>
      <c r="BY1088" s="108"/>
      <c r="BZ1088" s="108"/>
      <c r="CA1088" s="108"/>
      <c r="CB1088" s="108"/>
      <c r="CC1088" s="108"/>
      <c r="CD1088" s="108"/>
      <c r="CE1088" s="108"/>
      <c r="CF1088" s="108"/>
      <c r="CG1088" s="108"/>
      <c r="CH1088" s="108"/>
      <c r="CI1088" s="108"/>
      <c r="CJ1088" s="108"/>
      <c r="CK1088" s="108"/>
      <c r="CL1088" s="108"/>
      <c r="CM1088" s="108"/>
      <c r="CN1088" s="110"/>
      <c r="CO1088" s="111"/>
      <c r="CP1088" s="110"/>
      <c r="CQ1088" s="111"/>
      <c r="CR1088" s="110"/>
      <c r="CS1088" s="111"/>
      <c r="CT1088" s="112">
        <f t="shared" si="271"/>
        <v>0</v>
      </c>
      <c r="CU1088" s="113"/>
      <c r="CV1088" s="114"/>
      <c r="CW1088" s="115"/>
      <c r="CX1088" s="116"/>
      <c r="CY1088" s="117"/>
      <c r="CZ1088" s="116"/>
      <c r="DA1088" s="113"/>
      <c r="DB1088" s="114"/>
      <c r="DC1088" s="64"/>
      <c r="DD1088" s="118"/>
    </row>
    <row r="1089" spans="1:108" s="119" customFormat="1" ht="60" outlineLevel="2">
      <c r="A1089" s="178">
        <v>40423</v>
      </c>
      <c r="B1089" s="164" t="s">
        <v>1666</v>
      </c>
      <c r="C1089" s="174" t="s">
        <v>1738</v>
      </c>
      <c r="D1089" s="165" t="s">
        <v>1182</v>
      </c>
      <c r="E1089" s="163"/>
      <c r="F1089" s="105"/>
      <c r="G1089" s="105"/>
      <c r="H1089" s="105">
        <f>2385+2395</f>
        <v>4780</v>
      </c>
      <c r="I1089" s="105">
        <f>477+479</f>
        <v>956</v>
      </c>
      <c r="J1089" s="105">
        <f>49-17</f>
        <v>32</v>
      </c>
      <c r="K1089" s="105">
        <v>179</v>
      </c>
      <c r="L1089" s="105"/>
      <c r="M1089" s="105"/>
      <c r="N1089" s="105"/>
      <c r="O1089" s="105">
        <v>4</v>
      </c>
      <c r="P1089" s="105">
        <v>1</v>
      </c>
      <c r="Q1089" s="105"/>
      <c r="R1089" s="105">
        <v>7</v>
      </c>
      <c r="S1089" s="105"/>
      <c r="T1089" s="106"/>
      <c r="U1089" s="130" t="s">
        <v>414</v>
      </c>
      <c r="V1089" s="1"/>
      <c r="W1089" s="68">
        <f t="shared" si="266"/>
        <v>0</v>
      </c>
      <c r="X1089" s="68">
        <f t="shared" si="267"/>
        <v>0</v>
      </c>
      <c r="Y1089" s="68">
        <f>CZ1089+DB1089</f>
        <v>0</v>
      </c>
      <c r="Z1089" s="68">
        <f t="shared" si="269"/>
        <v>0</v>
      </c>
      <c r="AA1089" s="68"/>
      <c r="AB1089" s="68">
        <v>0</v>
      </c>
      <c r="AC1089" s="69">
        <f t="shared" si="270"/>
        <v>0</v>
      </c>
      <c r="AD1089" s="70">
        <v>0</v>
      </c>
      <c r="AE1089" s="63">
        <v>40428</v>
      </c>
      <c r="AF1089" s="72"/>
      <c r="AG1089" s="63" t="s">
        <v>938</v>
      </c>
      <c r="AH1089" s="23" t="s">
        <v>939</v>
      </c>
      <c r="AI1089" s="60"/>
      <c r="AJ1089" s="124" t="s">
        <v>1608</v>
      </c>
      <c r="AK1089" s="121" t="s">
        <v>1739</v>
      </c>
      <c r="AL1089" s="107"/>
      <c r="AM1089" s="108"/>
      <c r="AN1089" s="109"/>
      <c r="AO1089" s="108"/>
      <c r="AP1089" s="108"/>
      <c r="AQ1089" s="108"/>
      <c r="AR1089" s="108"/>
      <c r="AS1089" s="108"/>
      <c r="AT1089" s="108"/>
      <c r="AU1089" s="108"/>
      <c r="AV1089" s="108"/>
      <c r="AW1089" s="108"/>
      <c r="AX1089" s="108"/>
      <c r="AY1089" s="108"/>
      <c r="AZ1089" s="108"/>
      <c r="BA1089" s="108"/>
      <c r="BB1089" s="108"/>
      <c r="BC1089" s="108"/>
      <c r="BD1089" s="108"/>
      <c r="BE1089" s="108"/>
      <c r="BF1089" s="108"/>
      <c r="BG1089" s="108"/>
      <c r="BH1089" s="108"/>
      <c r="BI1089" s="108"/>
      <c r="BJ1089" s="108"/>
      <c r="BK1089" s="108"/>
      <c r="BL1089" s="108"/>
      <c r="BM1089" s="108"/>
      <c r="BN1089" s="108"/>
      <c r="BO1089" s="108"/>
      <c r="BP1089" s="108"/>
      <c r="BQ1089" s="108"/>
      <c r="BR1089" s="108"/>
      <c r="BS1089" s="108"/>
      <c r="BT1089" s="108"/>
      <c r="BU1089" s="108"/>
      <c r="BV1089" s="108"/>
      <c r="BW1089" s="108"/>
      <c r="BX1089" s="108"/>
      <c r="BY1089" s="108"/>
      <c r="BZ1089" s="108"/>
      <c r="CA1089" s="108"/>
      <c r="CB1089" s="108"/>
      <c r="CC1089" s="108"/>
      <c r="CD1089" s="108"/>
      <c r="CE1089" s="108"/>
      <c r="CF1089" s="108"/>
      <c r="CG1089" s="108"/>
      <c r="CH1089" s="108"/>
      <c r="CI1089" s="108"/>
      <c r="CJ1089" s="108"/>
      <c r="CK1089" s="108"/>
      <c r="CL1089" s="108"/>
      <c r="CM1089" s="108"/>
      <c r="CN1089" s="110"/>
      <c r="CO1089" s="111"/>
      <c r="CP1089" s="110"/>
      <c r="CQ1089" s="111"/>
      <c r="CR1089" s="110"/>
      <c r="CS1089" s="111"/>
      <c r="CT1089" s="112">
        <f t="shared" si="271"/>
        <v>0</v>
      </c>
      <c r="CU1089" s="113"/>
      <c r="CV1089" s="114"/>
      <c r="CW1089" s="115"/>
      <c r="CX1089" s="116"/>
      <c r="CY1089" s="117"/>
      <c r="CZ1089" s="116"/>
      <c r="DA1089" s="113"/>
      <c r="DB1089" s="114"/>
      <c r="DC1089" s="64"/>
      <c r="DD1089" s="118"/>
    </row>
    <row r="1090" spans="1:108" s="119" customFormat="1" ht="36" outlineLevel="2">
      <c r="A1090" s="178">
        <v>40435</v>
      </c>
      <c r="B1090" s="164" t="s">
        <v>1666</v>
      </c>
      <c r="C1090" s="174" t="s">
        <v>1387</v>
      </c>
      <c r="D1090" s="179" t="s">
        <v>1262</v>
      </c>
      <c r="E1090" s="163"/>
      <c r="F1090" s="105"/>
      <c r="G1090" s="105"/>
      <c r="H1090" s="105">
        <v>35</v>
      </c>
      <c r="I1090" s="105">
        <v>7</v>
      </c>
      <c r="J1090" s="105"/>
      <c r="K1090" s="105">
        <v>7</v>
      </c>
      <c r="L1090" s="105"/>
      <c r="M1090" s="105"/>
      <c r="N1090" s="105"/>
      <c r="O1090" s="105"/>
      <c r="P1090" s="105"/>
      <c r="Q1090" s="105"/>
      <c r="R1090" s="105"/>
      <c r="S1090" s="105"/>
      <c r="T1090" s="106"/>
      <c r="U1090" s="130"/>
      <c r="V1090" s="1"/>
      <c r="W1090" s="68">
        <f t="shared" si="266"/>
        <v>0</v>
      </c>
      <c r="X1090" s="68">
        <f t="shared" si="267"/>
        <v>0</v>
      </c>
      <c r="Y1090" s="68">
        <f>CZ1090+DB1090</f>
        <v>0</v>
      </c>
      <c r="Z1090" s="68">
        <f t="shared" si="269"/>
        <v>0</v>
      </c>
      <c r="AA1090" s="68"/>
      <c r="AB1090" s="68">
        <v>0</v>
      </c>
      <c r="AC1090" s="69">
        <f t="shared" si="270"/>
        <v>0</v>
      </c>
      <c r="AD1090" s="70">
        <v>0</v>
      </c>
      <c r="AE1090" s="63">
        <v>40441</v>
      </c>
      <c r="AF1090" s="72"/>
      <c r="AG1090" s="63" t="s">
        <v>938</v>
      </c>
      <c r="AH1090" s="23" t="s">
        <v>939</v>
      </c>
      <c r="AI1090" s="60"/>
      <c r="AJ1090" s="124" t="s">
        <v>1608</v>
      </c>
      <c r="AK1090" s="121" t="s">
        <v>1127</v>
      </c>
      <c r="AL1090" s="107"/>
      <c r="AM1090" s="108"/>
      <c r="AN1090" s="109"/>
      <c r="AO1090" s="108"/>
      <c r="AP1090" s="108"/>
      <c r="AQ1090" s="108"/>
      <c r="AR1090" s="108"/>
      <c r="AS1090" s="108"/>
      <c r="AT1090" s="108"/>
      <c r="AU1090" s="108"/>
      <c r="AV1090" s="108"/>
      <c r="AW1090" s="108"/>
      <c r="AX1090" s="108"/>
      <c r="AY1090" s="108"/>
      <c r="AZ1090" s="108"/>
      <c r="BA1090" s="108"/>
      <c r="BB1090" s="108"/>
      <c r="BC1090" s="108"/>
      <c r="BD1090" s="108"/>
      <c r="BE1090" s="108"/>
      <c r="BF1090" s="108"/>
      <c r="BG1090" s="108"/>
      <c r="BH1090" s="108"/>
      <c r="BI1090" s="108"/>
      <c r="BJ1090" s="108"/>
      <c r="BK1090" s="108"/>
      <c r="BL1090" s="108"/>
      <c r="BM1090" s="108"/>
      <c r="BN1090" s="108"/>
      <c r="BO1090" s="108"/>
      <c r="BP1090" s="108"/>
      <c r="BQ1090" s="108"/>
      <c r="BR1090" s="108"/>
      <c r="BS1090" s="108"/>
      <c r="BT1090" s="108"/>
      <c r="BU1090" s="108"/>
      <c r="BV1090" s="108"/>
      <c r="BW1090" s="108"/>
      <c r="BX1090" s="108"/>
      <c r="BY1090" s="108"/>
      <c r="BZ1090" s="108"/>
      <c r="CA1090" s="108"/>
      <c r="CB1090" s="108"/>
      <c r="CC1090" s="108"/>
      <c r="CD1090" s="108"/>
      <c r="CE1090" s="108"/>
      <c r="CF1090" s="108"/>
      <c r="CG1090" s="108"/>
      <c r="CH1090" s="108"/>
      <c r="CI1090" s="108"/>
      <c r="CJ1090" s="108"/>
      <c r="CK1090" s="108"/>
      <c r="CL1090" s="108"/>
      <c r="CM1090" s="108"/>
      <c r="CN1090" s="110"/>
      <c r="CO1090" s="111"/>
      <c r="CP1090" s="110"/>
      <c r="CQ1090" s="111"/>
      <c r="CR1090" s="110"/>
      <c r="CS1090" s="111"/>
      <c r="CT1090" s="112">
        <f t="shared" si="271"/>
        <v>0</v>
      </c>
      <c r="CU1090" s="113"/>
      <c r="CV1090" s="114"/>
      <c r="CW1090" s="115"/>
      <c r="CX1090" s="116"/>
      <c r="CY1090" s="117"/>
      <c r="CZ1090" s="116"/>
      <c r="DA1090" s="113"/>
      <c r="DB1090" s="114"/>
      <c r="DC1090" s="64"/>
      <c r="DD1090" s="118"/>
    </row>
    <row r="1091" spans="1:108" s="119" customFormat="1" ht="24" outlineLevel="2">
      <c r="A1091" s="178">
        <v>40437</v>
      </c>
      <c r="B1091" s="164" t="s">
        <v>1666</v>
      </c>
      <c r="C1091" s="164" t="s">
        <v>1996</v>
      </c>
      <c r="D1091" s="166" t="s">
        <v>1262</v>
      </c>
      <c r="E1091" s="163"/>
      <c r="F1091" s="105"/>
      <c r="G1091" s="105"/>
      <c r="H1091" s="105">
        <v>25</v>
      </c>
      <c r="I1091" s="105">
        <v>5</v>
      </c>
      <c r="J1091" s="105"/>
      <c r="K1091" s="105"/>
      <c r="L1091" s="105"/>
      <c r="M1091" s="105"/>
      <c r="N1091" s="105"/>
      <c r="O1091" s="105">
        <v>1</v>
      </c>
      <c r="P1091" s="105">
        <v>1</v>
      </c>
      <c r="Q1091" s="105"/>
      <c r="R1091" s="105"/>
      <c r="S1091" s="105"/>
      <c r="T1091" s="106"/>
      <c r="U1091" s="130"/>
      <c r="V1091" s="1"/>
      <c r="W1091" s="68">
        <f t="shared" si="266"/>
        <v>0</v>
      </c>
      <c r="X1091" s="68">
        <f t="shared" si="267"/>
        <v>0</v>
      </c>
      <c r="Y1091" s="68">
        <f>CZ1091+DB1091</f>
        <v>0</v>
      </c>
      <c r="Z1091" s="68">
        <f t="shared" si="269"/>
        <v>0</v>
      </c>
      <c r="AA1091" s="68"/>
      <c r="AB1091" s="68">
        <v>0</v>
      </c>
      <c r="AC1091" s="69">
        <f t="shared" si="270"/>
        <v>0</v>
      </c>
      <c r="AD1091" s="70">
        <v>0</v>
      </c>
      <c r="AE1091" s="63">
        <v>40441</v>
      </c>
      <c r="AF1091" s="72"/>
      <c r="AG1091" s="63" t="s">
        <v>938</v>
      </c>
      <c r="AH1091" s="23" t="s">
        <v>939</v>
      </c>
      <c r="AI1091" s="60"/>
      <c r="AJ1091" s="124" t="s">
        <v>1608</v>
      </c>
      <c r="AK1091" s="121" t="s">
        <v>1298</v>
      </c>
      <c r="AL1091" s="107"/>
      <c r="AM1091" s="108"/>
      <c r="AN1091" s="109"/>
      <c r="AO1091" s="108"/>
      <c r="AP1091" s="108"/>
      <c r="AQ1091" s="108"/>
      <c r="AR1091" s="108"/>
      <c r="AS1091" s="108"/>
      <c r="AT1091" s="108"/>
      <c r="AU1091" s="108"/>
      <c r="AV1091" s="108"/>
      <c r="AW1091" s="108"/>
      <c r="AX1091" s="108"/>
      <c r="AY1091" s="108"/>
      <c r="AZ1091" s="108"/>
      <c r="BA1091" s="108"/>
      <c r="BB1091" s="108"/>
      <c r="BC1091" s="108"/>
      <c r="BD1091" s="108"/>
      <c r="BE1091" s="108"/>
      <c r="BF1091" s="108"/>
      <c r="BG1091" s="108"/>
      <c r="BH1091" s="108"/>
      <c r="BI1091" s="108"/>
      <c r="BJ1091" s="108"/>
      <c r="BK1091" s="108"/>
      <c r="BL1091" s="108"/>
      <c r="BM1091" s="108"/>
      <c r="BN1091" s="108"/>
      <c r="BO1091" s="108"/>
      <c r="BP1091" s="108"/>
      <c r="BQ1091" s="108"/>
      <c r="BR1091" s="108"/>
      <c r="BS1091" s="108"/>
      <c r="BT1091" s="108"/>
      <c r="BU1091" s="108"/>
      <c r="BV1091" s="108"/>
      <c r="BW1091" s="108"/>
      <c r="BX1091" s="108"/>
      <c r="BY1091" s="108"/>
      <c r="BZ1091" s="108"/>
      <c r="CA1091" s="108"/>
      <c r="CB1091" s="108"/>
      <c r="CC1091" s="108"/>
      <c r="CD1091" s="108"/>
      <c r="CE1091" s="108"/>
      <c r="CF1091" s="108"/>
      <c r="CG1091" s="108"/>
      <c r="CH1091" s="108"/>
      <c r="CI1091" s="108"/>
      <c r="CJ1091" s="108"/>
      <c r="CK1091" s="108"/>
      <c r="CL1091" s="108"/>
      <c r="CM1091" s="108"/>
      <c r="CN1091" s="110"/>
      <c r="CO1091" s="111"/>
      <c r="CP1091" s="110"/>
      <c r="CQ1091" s="111"/>
      <c r="CR1091" s="110"/>
      <c r="CS1091" s="111"/>
      <c r="CT1091" s="112">
        <f t="shared" si="271"/>
        <v>0</v>
      </c>
      <c r="CU1091" s="113"/>
      <c r="CV1091" s="114"/>
      <c r="CW1091" s="115"/>
      <c r="CX1091" s="116"/>
      <c r="CY1091" s="117"/>
      <c r="CZ1091" s="116"/>
      <c r="DA1091" s="113"/>
      <c r="DB1091" s="114"/>
      <c r="DC1091" s="64"/>
      <c r="DD1091" s="118"/>
    </row>
    <row r="1092" spans="1:108" s="119" customFormat="1" ht="24" outlineLevel="2">
      <c r="A1092" s="178">
        <v>40440</v>
      </c>
      <c r="B1092" s="164" t="s">
        <v>1666</v>
      </c>
      <c r="C1092" s="164" t="s">
        <v>1314</v>
      </c>
      <c r="D1092" s="166" t="s">
        <v>1262</v>
      </c>
      <c r="E1092" s="163"/>
      <c r="F1092" s="105"/>
      <c r="G1092" s="105"/>
      <c r="H1092" s="105">
        <v>1250</v>
      </c>
      <c r="I1092" s="105">
        <v>250</v>
      </c>
      <c r="J1092" s="105"/>
      <c r="K1092" s="105"/>
      <c r="L1092" s="105"/>
      <c r="M1092" s="105"/>
      <c r="N1092" s="105"/>
      <c r="O1092" s="105"/>
      <c r="P1092" s="105"/>
      <c r="Q1092" s="105"/>
      <c r="R1092" s="105"/>
      <c r="S1092" s="105"/>
      <c r="T1092" s="106"/>
      <c r="U1092" s="130"/>
      <c r="V1092" s="1"/>
      <c r="W1092" s="68">
        <f t="shared" si="266"/>
        <v>0</v>
      </c>
      <c r="X1092" s="68">
        <f t="shared" si="267"/>
        <v>0</v>
      </c>
      <c r="Y1092" s="68">
        <f>CZ1092+DB1092</f>
        <v>0</v>
      </c>
      <c r="Z1092" s="68">
        <f t="shared" si="269"/>
        <v>0</v>
      </c>
      <c r="AA1092" s="68"/>
      <c r="AB1092" s="68">
        <v>0</v>
      </c>
      <c r="AC1092" s="69">
        <f t="shared" si="270"/>
        <v>0</v>
      </c>
      <c r="AD1092" s="70">
        <v>0</v>
      </c>
      <c r="AE1092" s="63">
        <v>40444</v>
      </c>
      <c r="AF1092" s="72"/>
      <c r="AG1092" s="63" t="s">
        <v>938</v>
      </c>
      <c r="AH1092" s="23" t="s">
        <v>939</v>
      </c>
      <c r="AI1092" s="60"/>
      <c r="AJ1092" s="124" t="s">
        <v>1608</v>
      </c>
      <c r="AK1092" s="121" t="s">
        <v>1315</v>
      </c>
      <c r="AL1092" s="107"/>
      <c r="AM1092" s="108"/>
      <c r="AN1092" s="109"/>
      <c r="AO1092" s="108"/>
      <c r="AP1092" s="108"/>
      <c r="AQ1092" s="108"/>
      <c r="AR1092" s="108"/>
      <c r="AS1092" s="108"/>
      <c r="AT1092" s="108"/>
      <c r="AU1092" s="108"/>
      <c r="AV1092" s="108"/>
      <c r="AW1092" s="108"/>
      <c r="AX1092" s="108"/>
      <c r="AY1092" s="108"/>
      <c r="AZ1092" s="108"/>
      <c r="BA1092" s="108"/>
      <c r="BB1092" s="108"/>
      <c r="BC1092" s="108"/>
      <c r="BD1092" s="108"/>
      <c r="BE1092" s="108"/>
      <c r="BF1092" s="108"/>
      <c r="BG1092" s="108"/>
      <c r="BH1092" s="108"/>
      <c r="BI1092" s="108"/>
      <c r="BJ1092" s="108"/>
      <c r="BK1092" s="108"/>
      <c r="BL1092" s="108"/>
      <c r="BM1092" s="108"/>
      <c r="BN1092" s="108"/>
      <c r="BO1092" s="108"/>
      <c r="BP1092" s="108"/>
      <c r="BQ1092" s="108"/>
      <c r="BR1092" s="108"/>
      <c r="BS1092" s="108"/>
      <c r="BT1092" s="108"/>
      <c r="BU1092" s="108"/>
      <c r="BV1092" s="108"/>
      <c r="BW1092" s="108"/>
      <c r="BX1092" s="108"/>
      <c r="BY1092" s="108"/>
      <c r="BZ1092" s="108"/>
      <c r="CA1092" s="108"/>
      <c r="CB1092" s="108"/>
      <c r="CC1092" s="108"/>
      <c r="CD1092" s="108"/>
      <c r="CE1092" s="108"/>
      <c r="CF1092" s="108"/>
      <c r="CG1092" s="108"/>
      <c r="CH1092" s="108"/>
      <c r="CI1092" s="108"/>
      <c r="CJ1092" s="108"/>
      <c r="CK1092" s="108"/>
      <c r="CL1092" s="108"/>
      <c r="CM1092" s="108"/>
      <c r="CN1092" s="110"/>
      <c r="CO1092" s="111"/>
      <c r="CP1092" s="110"/>
      <c r="CQ1092" s="111"/>
      <c r="CR1092" s="110"/>
      <c r="CS1092" s="111"/>
      <c r="CT1092" s="112">
        <f t="shared" si="271"/>
        <v>0</v>
      </c>
      <c r="CU1092" s="113"/>
      <c r="CV1092" s="114"/>
      <c r="CW1092" s="115"/>
      <c r="CX1092" s="116"/>
      <c r="CY1092" s="117"/>
      <c r="CZ1092" s="116"/>
      <c r="DA1092" s="113"/>
      <c r="DB1092" s="114"/>
      <c r="DC1092" s="64"/>
      <c r="DD1092" s="118"/>
    </row>
    <row r="1093" spans="1:108" s="119" customFormat="1" ht="108" outlineLevel="2">
      <c r="A1093" s="178">
        <v>40442</v>
      </c>
      <c r="B1093" s="164" t="s">
        <v>1666</v>
      </c>
      <c r="C1093" s="164" t="s">
        <v>1319</v>
      </c>
      <c r="D1093" s="166" t="s">
        <v>1262</v>
      </c>
      <c r="E1093" s="163"/>
      <c r="F1093" s="105"/>
      <c r="G1093" s="105"/>
      <c r="H1093" s="105">
        <f>845-70</f>
        <v>775</v>
      </c>
      <c r="I1093" s="105">
        <f>169-14</f>
        <v>155</v>
      </c>
      <c r="J1093" s="105">
        <v>2</v>
      </c>
      <c r="K1093" s="105">
        <v>85</v>
      </c>
      <c r="L1093" s="105"/>
      <c r="M1093" s="105"/>
      <c r="N1093" s="105"/>
      <c r="O1093" s="105">
        <v>1</v>
      </c>
      <c r="P1093" s="105">
        <v>1</v>
      </c>
      <c r="Q1093" s="105"/>
      <c r="R1093" s="105">
        <v>1</v>
      </c>
      <c r="S1093" s="105"/>
      <c r="T1093" s="106"/>
      <c r="U1093" s="130"/>
      <c r="V1093" s="1">
        <v>40511</v>
      </c>
      <c r="W1093" s="68">
        <f t="shared" si="266"/>
        <v>0</v>
      </c>
      <c r="X1093" s="68">
        <f t="shared" si="267"/>
        <v>0</v>
      </c>
      <c r="Y1093" s="68">
        <f>400*21315+500*21460+75*49300+3000*850</f>
        <v>25503500</v>
      </c>
      <c r="Z1093" s="68">
        <f t="shared" si="269"/>
        <v>0</v>
      </c>
      <c r="AA1093" s="68"/>
      <c r="AB1093" s="68">
        <v>0</v>
      </c>
      <c r="AC1093" s="69">
        <f t="shared" si="270"/>
        <v>25503500</v>
      </c>
      <c r="AD1093" s="70">
        <v>0</v>
      </c>
      <c r="AE1093" s="63">
        <v>40444</v>
      </c>
      <c r="AF1093" s="72">
        <v>57402</v>
      </c>
      <c r="AG1093" s="63" t="s">
        <v>954</v>
      </c>
      <c r="AH1093" s="23" t="s">
        <v>955</v>
      </c>
      <c r="AI1093" s="60">
        <v>24569</v>
      </c>
      <c r="AJ1093" s="124" t="s">
        <v>415</v>
      </c>
      <c r="AK1093" s="121" t="s">
        <v>1964</v>
      </c>
      <c r="AL1093" s="107"/>
      <c r="AM1093" s="108"/>
      <c r="AN1093" s="109"/>
      <c r="AO1093" s="108"/>
      <c r="AP1093" s="108"/>
      <c r="AQ1093" s="108"/>
      <c r="AR1093" s="108"/>
      <c r="AS1093" s="108"/>
      <c r="AT1093" s="108"/>
      <c r="AU1093" s="108"/>
      <c r="AV1093" s="108"/>
      <c r="AW1093" s="108"/>
      <c r="AX1093" s="108"/>
      <c r="AY1093" s="108"/>
      <c r="AZ1093" s="108"/>
      <c r="BA1093" s="108"/>
      <c r="BB1093" s="108"/>
      <c r="BC1093" s="108"/>
      <c r="BD1093" s="108"/>
      <c r="BE1093" s="108"/>
      <c r="BF1093" s="108"/>
      <c r="BG1093" s="108"/>
      <c r="BH1093" s="108"/>
      <c r="BI1093" s="108"/>
      <c r="BJ1093" s="108"/>
      <c r="BK1093" s="108"/>
      <c r="BL1093" s="108"/>
      <c r="BM1093" s="108"/>
      <c r="BN1093" s="108"/>
      <c r="BO1093" s="108"/>
      <c r="BP1093" s="108"/>
      <c r="BQ1093" s="108"/>
      <c r="BR1093" s="108"/>
      <c r="BS1093" s="108"/>
      <c r="BT1093" s="108"/>
      <c r="BU1093" s="108"/>
      <c r="BV1093" s="108"/>
      <c r="BW1093" s="108"/>
      <c r="BX1093" s="108"/>
      <c r="BY1093" s="108"/>
      <c r="BZ1093" s="108"/>
      <c r="CA1093" s="108"/>
      <c r="CB1093" s="108"/>
      <c r="CC1093" s="108"/>
      <c r="CD1093" s="108"/>
      <c r="CE1093" s="108"/>
      <c r="CF1093" s="108"/>
      <c r="CG1093" s="108"/>
      <c r="CH1093" s="108"/>
      <c r="CI1093" s="108"/>
      <c r="CJ1093" s="108"/>
      <c r="CK1093" s="108"/>
      <c r="CL1093" s="108"/>
      <c r="CM1093" s="108"/>
      <c r="CN1093" s="110"/>
      <c r="CO1093" s="111"/>
      <c r="CP1093" s="110"/>
      <c r="CQ1093" s="111"/>
      <c r="CR1093" s="110"/>
      <c r="CS1093" s="111"/>
      <c r="CT1093" s="112">
        <f t="shared" si="271"/>
        <v>0</v>
      </c>
      <c r="CU1093" s="113"/>
      <c r="CV1093" s="114"/>
      <c r="CW1093" s="115"/>
      <c r="CX1093" s="116"/>
      <c r="CY1093" s="117"/>
      <c r="CZ1093" s="116"/>
      <c r="DA1093" s="113"/>
      <c r="DB1093" s="114"/>
      <c r="DC1093" s="64"/>
      <c r="DD1093" s="118"/>
    </row>
    <row r="1094" spans="1:108" s="119" customFormat="1" ht="36" outlineLevel="2">
      <c r="A1094" s="178">
        <v>40444</v>
      </c>
      <c r="B1094" s="164" t="s">
        <v>1666</v>
      </c>
      <c r="C1094" s="164" t="s">
        <v>1387</v>
      </c>
      <c r="D1094" s="166" t="s">
        <v>1262</v>
      </c>
      <c r="E1094" s="163">
        <v>1</v>
      </c>
      <c r="F1094" s="105"/>
      <c r="G1094" s="105"/>
      <c r="H1094" s="105">
        <v>130</v>
      </c>
      <c r="I1094" s="105">
        <v>26</v>
      </c>
      <c r="J1094" s="105"/>
      <c r="K1094" s="105">
        <v>26</v>
      </c>
      <c r="L1094" s="105"/>
      <c r="M1094" s="105"/>
      <c r="N1094" s="105"/>
      <c r="O1094" s="105"/>
      <c r="P1094" s="105"/>
      <c r="Q1094" s="105"/>
      <c r="R1094" s="105"/>
      <c r="S1094" s="105"/>
      <c r="T1094" s="106"/>
      <c r="U1094" s="130"/>
      <c r="V1094" s="1"/>
      <c r="W1094" s="68">
        <f t="shared" si="266"/>
        <v>0</v>
      </c>
      <c r="X1094" s="68">
        <f t="shared" si="267"/>
        <v>0</v>
      </c>
      <c r="Y1094" s="68">
        <f t="shared" ref="Y1094:Y1125" si="272">CZ1094+DB1094</f>
        <v>0</v>
      </c>
      <c r="Z1094" s="68">
        <f t="shared" si="269"/>
        <v>0</v>
      </c>
      <c r="AA1094" s="68"/>
      <c r="AB1094" s="68">
        <v>0</v>
      </c>
      <c r="AC1094" s="69">
        <f t="shared" si="270"/>
        <v>0</v>
      </c>
      <c r="AD1094" s="70">
        <v>0</v>
      </c>
      <c r="AE1094" s="63">
        <v>40448</v>
      </c>
      <c r="AF1094" s="72"/>
      <c r="AG1094" s="63" t="s">
        <v>938</v>
      </c>
      <c r="AH1094" s="23" t="s">
        <v>939</v>
      </c>
      <c r="AI1094" s="60"/>
      <c r="AJ1094" s="124" t="s">
        <v>1608</v>
      </c>
      <c r="AK1094" s="121" t="s">
        <v>1349</v>
      </c>
      <c r="AL1094" s="107"/>
      <c r="AM1094" s="108"/>
      <c r="AN1094" s="109"/>
      <c r="AO1094" s="108"/>
      <c r="AP1094" s="108"/>
      <c r="AQ1094" s="108"/>
      <c r="AR1094" s="108"/>
      <c r="AS1094" s="108"/>
      <c r="AT1094" s="108"/>
      <c r="AU1094" s="108"/>
      <c r="AV1094" s="108"/>
      <c r="AW1094" s="108"/>
      <c r="AX1094" s="108"/>
      <c r="AY1094" s="108"/>
      <c r="AZ1094" s="108"/>
      <c r="BA1094" s="108"/>
      <c r="BB1094" s="108"/>
      <c r="BC1094" s="108"/>
      <c r="BD1094" s="108"/>
      <c r="BE1094" s="108"/>
      <c r="BF1094" s="108"/>
      <c r="BG1094" s="108"/>
      <c r="BH1094" s="108"/>
      <c r="BI1094" s="108"/>
      <c r="BJ1094" s="108"/>
      <c r="BK1094" s="108"/>
      <c r="BL1094" s="108"/>
      <c r="BM1094" s="108"/>
      <c r="BN1094" s="108"/>
      <c r="BO1094" s="108"/>
      <c r="BP1094" s="108"/>
      <c r="BQ1094" s="108"/>
      <c r="BR1094" s="108"/>
      <c r="BS1094" s="108"/>
      <c r="BT1094" s="108"/>
      <c r="BU1094" s="108"/>
      <c r="BV1094" s="108"/>
      <c r="BW1094" s="108"/>
      <c r="BX1094" s="108"/>
      <c r="BY1094" s="108"/>
      <c r="BZ1094" s="108"/>
      <c r="CA1094" s="108"/>
      <c r="CB1094" s="108"/>
      <c r="CC1094" s="108"/>
      <c r="CD1094" s="108"/>
      <c r="CE1094" s="108"/>
      <c r="CF1094" s="108"/>
      <c r="CG1094" s="108"/>
      <c r="CH1094" s="108"/>
      <c r="CI1094" s="108"/>
      <c r="CJ1094" s="108"/>
      <c r="CK1094" s="108"/>
      <c r="CL1094" s="108"/>
      <c r="CM1094" s="108"/>
      <c r="CN1094" s="110"/>
      <c r="CO1094" s="111"/>
      <c r="CP1094" s="110"/>
      <c r="CQ1094" s="111"/>
      <c r="CR1094" s="110"/>
      <c r="CS1094" s="111"/>
      <c r="CT1094" s="112">
        <f t="shared" si="271"/>
        <v>0</v>
      </c>
      <c r="CU1094" s="113"/>
      <c r="CV1094" s="114"/>
      <c r="CW1094" s="115"/>
      <c r="CX1094" s="116"/>
      <c r="CY1094" s="117"/>
      <c r="CZ1094" s="116"/>
      <c r="DA1094" s="113"/>
      <c r="DB1094" s="114"/>
      <c r="DC1094" s="64"/>
      <c r="DD1094" s="118"/>
    </row>
    <row r="1095" spans="1:108" s="119" customFormat="1" ht="36" outlineLevel="2">
      <c r="A1095" s="178">
        <v>40444</v>
      </c>
      <c r="B1095" s="164" t="s">
        <v>1666</v>
      </c>
      <c r="C1095" s="164" t="s">
        <v>1549</v>
      </c>
      <c r="D1095" s="166" t="s">
        <v>1200</v>
      </c>
      <c r="E1095" s="163"/>
      <c r="F1095" s="105"/>
      <c r="G1095" s="105"/>
      <c r="H1095" s="105">
        <v>75</v>
      </c>
      <c r="I1095" s="105">
        <v>15</v>
      </c>
      <c r="J1095" s="105"/>
      <c r="K1095" s="105"/>
      <c r="L1095" s="105"/>
      <c r="M1095" s="105"/>
      <c r="N1095" s="105"/>
      <c r="O1095" s="105"/>
      <c r="P1095" s="105"/>
      <c r="Q1095" s="105"/>
      <c r="R1095" s="105"/>
      <c r="S1095" s="105"/>
      <c r="T1095" s="106"/>
      <c r="U1095" s="130"/>
      <c r="V1095" s="1"/>
      <c r="W1095" s="68">
        <f t="shared" si="266"/>
        <v>0</v>
      </c>
      <c r="X1095" s="68">
        <f t="shared" si="267"/>
        <v>0</v>
      </c>
      <c r="Y1095" s="68">
        <f t="shared" si="272"/>
        <v>0</v>
      </c>
      <c r="Z1095" s="68">
        <f t="shared" si="269"/>
        <v>0</v>
      </c>
      <c r="AA1095" s="68"/>
      <c r="AB1095" s="68">
        <v>0</v>
      </c>
      <c r="AC1095" s="69">
        <f t="shared" si="270"/>
        <v>0</v>
      </c>
      <c r="AD1095" s="70">
        <v>0</v>
      </c>
      <c r="AE1095" s="63">
        <v>40448</v>
      </c>
      <c r="AF1095" s="72"/>
      <c r="AG1095" s="63" t="s">
        <v>938</v>
      </c>
      <c r="AH1095" s="23" t="s">
        <v>939</v>
      </c>
      <c r="AI1095" s="60"/>
      <c r="AJ1095" s="124" t="s">
        <v>1608</v>
      </c>
      <c r="AK1095" s="121" t="s">
        <v>1351</v>
      </c>
      <c r="AL1095" s="107"/>
      <c r="AM1095" s="108"/>
      <c r="AN1095" s="109"/>
      <c r="AO1095" s="108"/>
      <c r="AP1095" s="108"/>
      <c r="AQ1095" s="108"/>
      <c r="AR1095" s="108"/>
      <c r="AS1095" s="108"/>
      <c r="AT1095" s="108"/>
      <c r="AU1095" s="108"/>
      <c r="AV1095" s="108"/>
      <c r="AW1095" s="108"/>
      <c r="AX1095" s="108"/>
      <c r="AY1095" s="108"/>
      <c r="AZ1095" s="108"/>
      <c r="BA1095" s="108"/>
      <c r="BB1095" s="108"/>
      <c r="BC1095" s="108"/>
      <c r="BD1095" s="108"/>
      <c r="BE1095" s="108"/>
      <c r="BF1095" s="108"/>
      <c r="BG1095" s="108"/>
      <c r="BH1095" s="108"/>
      <c r="BI1095" s="108"/>
      <c r="BJ1095" s="108"/>
      <c r="BK1095" s="108"/>
      <c r="BL1095" s="108"/>
      <c r="BM1095" s="108"/>
      <c r="BN1095" s="108"/>
      <c r="BO1095" s="108"/>
      <c r="BP1095" s="108"/>
      <c r="BQ1095" s="108"/>
      <c r="BR1095" s="108"/>
      <c r="BS1095" s="108"/>
      <c r="BT1095" s="108"/>
      <c r="BU1095" s="108"/>
      <c r="BV1095" s="108"/>
      <c r="BW1095" s="108"/>
      <c r="BX1095" s="108"/>
      <c r="BY1095" s="108"/>
      <c r="BZ1095" s="108"/>
      <c r="CA1095" s="108"/>
      <c r="CB1095" s="108"/>
      <c r="CC1095" s="108"/>
      <c r="CD1095" s="108"/>
      <c r="CE1095" s="108"/>
      <c r="CF1095" s="108"/>
      <c r="CG1095" s="108"/>
      <c r="CH1095" s="108"/>
      <c r="CI1095" s="108"/>
      <c r="CJ1095" s="108"/>
      <c r="CK1095" s="108"/>
      <c r="CL1095" s="108"/>
      <c r="CM1095" s="108"/>
      <c r="CN1095" s="110"/>
      <c r="CO1095" s="111"/>
      <c r="CP1095" s="110"/>
      <c r="CQ1095" s="111"/>
      <c r="CR1095" s="110"/>
      <c r="CS1095" s="111"/>
      <c r="CT1095" s="112">
        <f t="shared" si="271"/>
        <v>0</v>
      </c>
      <c r="CU1095" s="113"/>
      <c r="CV1095" s="114"/>
      <c r="CW1095" s="115"/>
      <c r="CX1095" s="116"/>
      <c r="CY1095" s="117"/>
      <c r="CZ1095" s="116"/>
      <c r="DA1095" s="113"/>
      <c r="DB1095" s="114"/>
      <c r="DC1095" s="64"/>
      <c r="DD1095" s="118"/>
    </row>
    <row r="1096" spans="1:108" s="119" customFormat="1" ht="24" outlineLevel="2">
      <c r="A1096" s="178">
        <v>40447</v>
      </c>
      <c r="B1096" s="164" t="s">
        <v>1666</v>
      </c>
      <c r="C1096" s="164" t="s">
        <v>1687</v>
      </c>
      <c r="D1096" s="165" t="s">
        <v>1182</v>
      </c>
      <c r="E1096" s="163"/>
      <c r="F1096" s="105"/>
      <c r="G1096" s="105"/>
      <c r="H1096" s="105">
        <v>269</v>
      </c>
      <c r="I1096" s="105">
        <v>53</v>
      </c>
      <c r="J1096" s="105"/>
      <c r="K1096" s="105">
        <v>53</v>
      </c>
      <c r="L1096" s="105"/>
      <c r="M1096" s="105"/>
      <c r="N1096" s="105"/>
      <c r="O1096" s="105"/>
      <c r="P1096" s="105"/>
      <c r="Q1096" s="105"/>
      <c r="R1096" s="105"/>
      <c r="S1096" s="105"/>
      <c r="T1096" s="106"/>
      <c r="U1096" s="130"/>
      <c r="V1096" s="1"/>
      <c r="W1096" s="68">
        <f t="shared" si="266"/>
        <v>0</v>
      </c>
      <c r="X1096" s="68">
        <f t="shared" si="267"/>
        <v>0</v>
      </c>
      <c r="Y1096" s="68">
        <f t="shared" si="272"/>
        <v>0</v>
      </c>
      <c r="Z1096" s="68">
        <f t="shared" si="269"/>
        <v>0</v>
      </c>
      <c r="AA1096" s="68"/>
      <c r="AB1096" s="68">
        <v>0</v>
      </c>
      <c r="AC1096" s="69">
        <f t="shared" si="270"/>
        <v>0</v>
      </c>
      <c r="AD1096" s="70">
        <v>0</v>
      </c>
      <c r="AE1096" s="63">
        <v>40448</v>
      </c>
      <c r="AF1096" s="72"/>
      <c r="AG1096" s="63" t="s">
        <v>938</v>
      </c>
      <c r="AH1096" s="23" t="s">
        <v>939</v>
      </c>
      <c r="AI1096" s="60"/>
      <c r="AJ1096" s="124" t="s">
        <v>1608</v>
      </c>
      <c r="AK1096" s="121" t="s">
        <v>724</v>
      </c>
      <c r="AL1096" s="107"/>
      <c r="AM1096" s="108"/>
      <c r="AN1096" s="109"/>
      <c r="AO1096" s="108"/>
      <c r="AP1096" s="108"/>
      <c r="AQ1096" s="108"/>
      <c r="AR1096" s="108"/>
      <c r="AS1096" s="108"/>
      <c r="AT1096" s="108"/>
      <c r="AU1096" s="108"/>
      <c r="AV1096" s="108"/>
      <c r="AW1096" s="108"/>
      <c r="AX1096" s="108"/>
      <c r="AY1096" s="108"/>
      <c r="AZ1096" s="108"/>
      <c r="BA1096" s="108"/>
      <c r="BB1096" s="108"/>
      <c r="BC1096" s="108"/>
      <c r="BD1096" s="108"/>
      <c r="BE1096" s="108"/>
      <c r="BF1096" s="108"/>
      <c r="BG1096" s="108"/>
      <c r="BH1096" s="108"/>
      <c r="BI1096" s="108"/>
      <c r="BJ1096" s="108"/>
      <c r="BK1096" s="108"/>
      <c r="BL1096" s="108"/>
      <c r="BM1096" s="108"/>
      <c r="BN1096" s="108"/>
      <c r="BO1096" s="108"/>
      <c r="BP1096" s="108"/>
      <c r="BQ1096" s="108"/>
      <c r="BR1096" s="108"/>
      <c r="BS1096" s="108"/>
      <c r="BT1096" s="108"/>
      <c r="BU1096" s="108"/>
      <c r="BV1096" s="108"/>
      <c r="BW1096" s="108"/>
      <c r="BX1096" s="108"/>
      <c r="BY1096" s="108"/>
      <c r="BZ1096" s="108"/>
      <c r="CA1096" s="108"/>
      <c r="CB1096" s="108"/>
      <c r="CC1096" s="108"/>
      <c r="CD1096" s="108"/>
      <c r="CE1096" s="108"/>
      <c r="CF1096" s="108"/>
      <c r="CG1096" s="108"/>
      <c r="CH1096" s="108"/>
      <c r="CI1096" s="108"/>
      <c r="CJ1096" s="108"/>
      <c r="CK1096" s="108"/>
      <c r="CL1096" s="108"/>
      <c r="CM1096" s="108"/>
      <c r="CN1096" s="110"/>
      <c r="CO1096" s="111"/>
      <c r="CP1096" s="110"/>
      <c r="CQ1096" s="111"/>
      <c r="CR1096" s="110"/>
      <c r="CS1096" s="111"/>
      <c r="CT1096" s="112">
        <f t="shared" si="271"/>
        <v>0</v>
      </c>
      <c r="CU1096" s="113"/>
      <c r="CV1096" s="114"/>
      <c r="CW1096" s="115"/>
      <c r="CX1096" s="116"/>
      <c r="CY1096" s="117"/>
      <c r="CZ1096" s="116"/>
      <c r="DA1096" s="113"/>
      <c r="DB1096" s="114"/>
      <c r="DC1096" s="64"/>
      <c r="DD1096" s="118"/>
    </row>
    <row r="1097" spans="1:108" s="119" customFormat="1" ht="84" outlineLevel="2">
      <c r="A1097" s="178">
        <v>40447</v>
      </c>
      <c r="B1097" s="164" t="s">
        <v>1666</v>
      </c>
      <c r="C1097" s="164" t="s">
        <v>1677</v>
      </c>
      <c r="D1097" s="166" t="s">
        <v>1262</v>
      </c>
      <c r="E1097" s="163"/>
      <c r="F1097" s="105"/>
      <c r="G1097" s="105"/>
      <c r="H1097" s="105">
        <v>130</v>
      </c>
      <c r="I1097" s="105">
        <v>26</v>
      </c>
      <c r="J1097" s="105">
        <v>4</v>
      </c>
      <c r="K1097" s="105">
        <v>22</v>
      </c>
      <c r="L1097" s="105"/>
      <c r="M1097" s="105"/>
      <c r="N1097" s="105"/>
      <c r="O1097" s="105"/>
      <c r="P1097" s="105"/>
      <c r="Q1097" s="105"/>
      <c r="R1097" s="105"/>
      <c r="S1097" s="105"/>
      <c r="T1097" s="106"/>
      <c r="U1097" s="130"/>
      <c r="V1097" s="1">
        <v>40509</v>
      </c>
      <c r="W1097" s="68">
        <f t="shared" si="266"/>
        <v>0</v>
      </c>
      <c r="X1097" s="68">
        <f t="shared" si="267"/>
        <v>0</v>
      </c>
      <c r="Y1097" s="68">
        <f t="shared" si="272"/>
        <v>0</v>
      </c>
      <c r="Z1097" s="68">
        <f t="shared" si="269"/>
        <v>0</v>
      </c>
      <c r="AA1097" s="68">
        <f>600*17980+10000*994.12+600*21460+140*51968</f>
        <v>40880720</v>
      </c>
      <c r="AB1097" s="68">
        <v>0</v>
      </c>
      <c r="AC1097" s="69">
        <f t="shared" si="270"/>
        <v>40880720</v>
      </c>
      <c r="AD1097" s="70">
        <v>0</v>
      </c>
      <c r="AE1097" s="63">
        <v>40448</v>
      </c>
      <c r="AF1097" s="72">
        <v>59205</v>
      </c>
      <c r="AG1097" s="63" t="s">
        <v>954</v>
      </c>
      <c r="AH1097" s="23" t="s">
        <v>955</v>
      </c>
      <c r="AI1097" s="60">
        <v>24573</v>
      </c>
      <c r="AJ1097" s="124" t="s">
        <v>1545</v>
      </c>
      <c r="AK1097" s="121" t="s">
        <v>356</v>
      </c>
      <c r="AL1097" s="107"/>
      <c r="AM1097" s="108"/>
      <c r="AN1097" s="109"/>
      <c r="AO1097" s="108"/>
      <c r="AP1097" s="108"/>
      <c r="AQ1097" s="108"/>
      <c r="AR1097" s="108"/>
      <c r="AS1097" s="108"/>
      <c r="AT1097" s="108"/>
      <c r="AU1097" s="108"/>
      <c r="AV1097" s="108"/>
      <c r="AW1097" s="108"/>
      <c r="AX1097" s="108"/>
      <c r="AY1097" s="108"/>
      <c r="AZ1097" s="108"/>
      <c r="BA1097" s="108"/>
      <c r="BB1097" s="108"/>
      <c r="BC1097" s="108"/>
      <c r="BD1097" s="108"/>
      <c r="BE1097" s="108"/>
      <c r="BF1097" s="108"/>
      <c r="BG1097" s="108"/>
      <c r="BH1097" s="108"/>
      <c r="BI1097" s="108"/>
      <c r="BJ1097" s="108"/>
      <c r="BK1097" s="108"/>
      <c r="BL1097" s="108"/>
      <c r="BM1097" s="108"/>
      <c r="BN1097" s="108"/>
      <c r="BO1097" s="108"/>
      <c r="BP1097" s="108"/>
      <c r="BQ1097" s="108"/>
      <c r="BR1097" s="108"/>
      <c r="BS1097" s="108"/>
      <c r="BT1097" s="108"/>
      <c r="BU1097" s="108"/>
      <c r="BV1097" s="108"/>
      <c r="BW1097" s="108"/>
      <c r="BX1097" s="108"/>
      <c r="BY1097" s="108"/>
      <c r="BZ1097" s="108"/>
      <c r="CA1097" s="108"/>
      <c r="CB1097" s="108"/>
      <c r="CC1097" s="108"/>
      <c r="CD1097" s="108"/>
      <c r="CE1097" s="108"/>
      <c r="CF1097" s="108"/>
      <c r="CG1097" s="108"/>
      <c r="CH1097" s="108"/>
      <c r="CI1097" s="108"/>
      <c r="CJ1097" s="108"/>
      <c r="CK1097" s="108"/>
      <c r="CL1097" s="108"/>
      <c r="CM1097" s="108"/>
      <c r="CN1097" s="110"/>
      <c r="CO1097" s="111"/>
      <c r="CP1097" s="110"/>
      <c r="CQ1097" s="111"/>
      <c r="CR1097" s="110"/>
      <c r="CS1097" s="111"/>
      <c r="CT1097" s="112">
        <f t="shared" si="271"/>
        <v>0</v>
      </c>
      <c r="CU1097" s="113"/>
      <c r="CV1097" s="114"/>
      <c r="CW1097" s="115"/>
      <c r="CX1097" s="116"/>
      <c r="CY1097" s="117"/>
      <c r="CZ1097" s="116"/>
      <c r="DA1097" s="113"/>
      <c r="DB1097" s="114"/>
      <c r="DC1097" s="64"/>
      <c r="DD1097" s="118"/>
    </row>
    <row r="1098" spans="1:108" s="119" customFormat="1" ht="24" outlineLevel="2">
      <c r="A1098" s="178">
        <v>40447</v>
      </c>
      <c r="B1098" s="164" t="s">
        <v>1666</v>
      </c>
      <c r="C1098" s="164" t="s">
        <v>1319</v>
      </c>
      <c r="D1098" s="166" t="s">
        <v>1262</v>
      </c>
      <c r="E1098" s="163"/>
      <c r="F1098" s="105"/>
      <c r="G1098" s="105"/>
      <c r="H1098" s="105">
        <v>15</v>
      </c>
      <c r="I1098" s="105">
        <v>3</v>
      </c>
      <c r="J1098" s="105">
        <v>3</v>
      </c>
      <c r="K1098" s="105"/>
      <c r="L1098" s="105"/>
      <c r="M1098" s="105"/>
      <c r="N1098" s="105"/>
      <c r="O1098" s="105"/>
      <c r="P1098" s="105"/>
      <c r="Q1098" s="105"/>
      <c r="R1098" s="105"/>
      <c r="S1098" s="105"/>
      <c r="T1098" s="106"/>
      <c r="U1098" s="130"/>
      <c r="V1098" s="1"/>
      <c r="W1098" s="68">
        <f t="shared" si="266"/>
        <v>0</v>
      </c>
      <c r="X1098" s="68">
        <f t="shared" si="267"/>
        <v>0</v>
      </c>
      <c r="Y1098" s="68">
        <f t="shared" si="272"/>
        <v>0</v>
      </c>
      <c r="Z1098" s="68">
        <f t="shared" si="269"/>
        <v>0</v>
      </c>
      <c r="AA1098" s="68"/>
      <c r="AB1098" s="68">
        <v>0</v>
      </c>
      <c r="AC1098" s="69">
        <f t="shared" si="270"/>
        <v>0</v>
      </c>
      <c r="AD1098" s="70">
        <v>0</v>
      </c>
      <c r="AE1098" s="63">
        <v>40448</v>
      </c>
      <c r="AF1098" s="72"/>
      <c r="AG1098" s="63" t="s">
        <v>938</v>
      </c>
      <c r="AH1098" s="23" t="s">
        <v>939</v>
      </c>
      <c r="AI1098" s="60"/>
      <c r="AJ1098" s="124" t="s">
        <v>1608</v>
      </c>
      <c r="AK1098" s="121" t="s">
        <v>1359</v>
      </c>
      <c r="AL1098" s="107"/>
      <c r="AM1098" s="108"/>
      <c r="AN1098" s="109"/>
      <c r="AO1098" s="108"/>
      <c r="AP1098" s="108"/>
      <c r="AQ1098" s="108"/>
      <c r="AR1098" s="108"/>
      <c r="AS1098" s="108"/>
      <c r="AT1098" s="108"/>
      <c r="AU1098" s="108"/>
      <c r="AV1098" s="108"/>
      <c r="AW1098" s="108"/>
      <c r="AX1098" s="108"/>
      <c r="AY1098" s="108"/>
      <c r="AZ1098" s="108"/>
      <c r="BA1098" s="108"/>
      <c r="BB1098" s="108"/>
      <c r="BC1098" s="108"/>
      <c r="BD1098" s="108"/>
      <c r="BE1098" s="108"/>
      <c r="BF1098" s="108"/>
      <c r="BG1098" s="108"/>
      <c r="BH1098" s="108"/>
      <c r="BI1098" s="108"/>
      <c r="BJ1098" s="108"/>
      <c r="BK1098" s="108"/>
      <c r="BL1098" s="108"/>
      <c r="BM1098" s="108"/>
      <c r="BN1098" s="108"/>
      <c r="BO1098" s="108"/>
      <c r="BP1098" s="108"/>
      <c r="BQ1098" s="108"/>
      <c r="BR1098" s="108"/>
      <c r="BS1098" s="108"/>
      <c r="BT1098" s="108"/>
      <c r="BU1098" s="108"/>
      <c r="BV1098" s="108"/>
      <c r="BW1098" s="108"/>
      <c r="BX1098" s="108"/>
      <c r="BY1098" s="108"/>
      <c r="BZ1098" s="108"/>
      <c r="CA1098" s="108"/>
      <c r="CB1098" s="108"/>
      <c r="CC1098" s="108"/>
      <c r="CD1098" s="108"/>
      <c r="CE1098" s="108"/>
      <c r="CF1098" s="108"/>
      <c r="CG1098" s="108"/>
      <c r="CH1098" s="108"/>
      <c r="CI1098" s="108"/>
      <c r="CJ1098" s="108"/>
      <c r="CK1098" s="108"/>
      <c r="CL1098" s="108"/>
      <c r="CM1098" s="108"/>
      <c r="CN1098" s="110"/>
      <c r="CO1098" s="111"/>
      <c r="CP1098" s="110"/>
      <c r="CQ1098" s="111"/>
      <c r="CR1098" s="110"/>
      <c r="CS1098" s="111"/>
      <c r="CT1098" s="112">
        <f t="shared" si="271"/>
        <v>0</v>
      </c>
      <c r="CU1098" s="113"/>
      <c r="CV1098" s="114"/>
      <c r="CW1098" s="115"/>
      <c r="CX1098" s="116"/>
      <c r="CY1098" s="117"/>
      <c r="CZ1098" s="116"/>
      <c r="DA1098" s="113"/>
      <c r="DB1098" s="114"/>
      <c r="DC1098" s="64"/>
      <c r="DD1098" s="118"/>
    </row>
    <row r="1099" spans="1:108" s="119" customFormat="1" ht="24" outlineLevel="2">
      <c r="A1099" s="178">
        <v>40447</v>
      </c>
      <c r="B1099" s="164" t="s">
        <v>1666</v>
      </c>
      <c r="C1099" s="164" t="s">
        <v>865</v>
      </c>
      <c r="D1099" s="166" t="s">
        <v>435</v>
      </c>
      <c r="E1099" s="163"/>
      <c r="F1099" s="105"/>
      <c r="G1099" s="105"/>
      <c r="H1099" s="105">
        <v>40</v>
      </c>
      <c r="I1099" s="105">
        <v>8</v>
      </c>
      <c r="J1099" s="105"/>
      <c r="K1099" s="105">
        <v>8</v>
      </c>
      <c r="L1099" s="105"/>
      <c r="M1099" s="105"/>
      <c r="N1099" s="105"/>
      <c r="O1099" s="105">
        <v>1</v>
      </c>
      <c r="P1099" s="105">
        <v>1</v>
      </c>
      <c r="Q1099" s="105"/>
      <c r="R1099" s="105"/>
      <c r="S1099" s="105"/>
      <c r="T1099" s="106"/>
      <c r="U1099" s="130" t="s">
        <v>1358</v>
      </c>
      <c r="V1099" s="1"/>
      <c r="W1099" s="68">
        <f t="shared" si="266"/>
        <v>0</v>
      </c>
      <c r="X1099" s="68">
        <f t="shared" si="267"/>
        <v>0</v>
      </c>
      <c r="Y1099" s="68">
        <f t="shared" si="272"/>
        <v>0</v>
      </c>
      <c r="Z1099" s="68">
        <f t="shared" si="269"/>
        <v>0</v>
      </c>
      <c r="AA1099" s="68"/>
      <c r="AB1099" s="68">
        <v>0</v>
      </c>
      <c r="AC1099" s="69">
        <f t="shared" si="270"/>
        <v>0</v>
      </c>
      <c r="AD1099" s="70">
        <v>0</v>
      </c>
      <c r="AE1099" s="63">
        <v>40448</v>
      </c>
      <c r="AF1099" s="72"/>
      <c r="AG1099" s="63" t="s">
        <v>938</v>
      </c>
      <c r="AH1099" s="23" t="s">
        <v>939</v>
      </c>
      <c r="AI1099" s="60"/>
      <c r="AJ1099" s="124" t="s">
        <v>1608</v>
      </c>
      <c r="AK1099" s="121" t="s">
        <v>1357</v>
      </c>
      <c r="AL1099" s="107"/>
      <c r="AM1099" s="108"/>
      <c r="AN1099" s="109"/>
      <c r="AO1099" s="108"/>
      <c r="AP1099" s="108"/>
      <c r="AQ1099" s="108"/>
      <c r="AR1099" s="108"/>
      <c r="AS1099" s="108"/>
      <c r="AT1099" s="108"/>
      <c r="AU1099" s="108"/>
      <c r="AV1099" s="108"/>
      <c r="AW1099" s="108"/>
      <c r="AX1099" s="108"/>
      <c r="AY1099" s="108"/>
      <c r="AZ1099" s="108"/>
      <c r="BA1099" s="108"/>
      <c r="BB1099" s="108"/>
      <c r="BC1099" s="108"/>
      <c r="BD1099" s="108"/>
      <c r="BE1099" s="108"/>
      <c r="BF1099" s="108"/>
      <c r="BG1099" s="108"/>
      <c r="BH1099" s="108"/>
      <c r="BI1099" s="108"/>
      <c r="BJ1099" s="108"/>
      <c r="BK1099" s="108"/>
      <c r="BL1099" s="108"/>
      <c r="BM1099" s="108"/>
      <c r="BN1099" s="108"/>
      <c r="BO1099" s="108"/>
      <c r="BP1099" s="108"/>
      <c r="BQ1099" s="108"/>
      <c r="BR1099" s="108"/>
      <c r="BS1099" s="108"/>
      <c r="BT1099" s="108"/>
      <c r="BU1099" s="108"/>
      <c r="BV1099" s="108"/>
      <c r="BW1099" s="108"/>
      <c r="BX1099" s="108"/>
      <c r="BY1099" s="108"/>
      <c r="BZ1099" s="108"/>
      <c r="CA1099" s="108"/>
      <c r="CB1099" s="108"/>
      <c r="CC1099" s="108"/>
      <c r="CD1099" s="108"/>
      <c r="CE1099" s="108"/>
      <c r="CF1099" s="108"/>
      <c r="CG1099" s="108"/>
      <c r="CH1099" s="108"/>
      <c r="CI1099" s="108"/>
      <c r="CJ1099" s="108"/>
      <c r="CK1099" s="108"/>
      <c r="CL1099" s="108"/>
      <c r="CM1099" s="108"/>
      <c r="CN1099" s="110"/>
      <c r="CO1099" s="111"/>
      <c r="CP1099" s="110"/>
      <c r="CQ1099" s="111"/>
      <c r="CR1099" s="110"/>
      <c r="CS1099" s="111"/>
      <c r="CT1099" s="112">
        <f t="shared" si="271"/>
        <v>0</v>
      </c>
      <c r="CU1099" s="113"/>
      <c r="CV1099" s="114"/>
      <c r="CW1099" s="115"/>
      <c r="CX1099" s="116"/>
      <c r="CY1099" s="117"/>
      <c r="CZ1099" s="116"/>
      <c r="DA1099" s="113"/>
      <c r="DB1099" s="114"/>
      <c r="DC1099" s="64"/>
      <c r="DD1099" s="118"/>
    </row>
    <row r="1100" spans="1:108" s="119" customFormat="1" ht="24" outlineLevel="2">
      <c r="A1100" s="178">
        <v>40450</v>
      </c>
      <c r="B1100" s="164" t="s">
        <v>1666</v>
      </c>
      <c r="C1100" s="164" t="s">
        <v>1314</v>
      </c>
      <c r="D1100" s="165" t="s">
        <v>1182</v>
      </c>
      <c r="E1100" s="163"/>
      <c r="F1100" s="105"/>
      <c r="G1100" s="105"/>
      <c r="H1100" s="105"/>
      <c r="I1100" s="105"/>
      <c r="J1100" s="105"/>
      <c r="K1100" s="105"/>
      <c r="L1100" s="105"/>
      <c r="M1100" s="105"/>
      <c r="N1100" s="105"/>
      <c r="O1100" s="105"/>
      <c r="P1100" s="105"/>
      <c r="Q1100" s="105"/>
      <c r="R1100" s="105"/>
      <c r="S1100" s="105"/>
      <c r="T1100" s="106"/>
      <c r="U1100" s="130"/>
      <c r="V1100" s="1"/>
      <c r="W1100" s="68">
        <f t="shared" si="266"/>
        <v>0</v>
      </c>
      <c r="X1100" s="68">
        <f t="shared" si="267"/>
        <v>0</v>
      </c>
      <c r="Y1100" s="68">
        <f t="shared" si="272"/>
        <v>0</v>
      </c>
      <c r="Z1100" s="68">
        <f t="shared" si="269"/>
        <v>0</v>
      </c>
      <c r="AA1100" s="68"/>
      <c r="AB1100" s="68">
        <v>0</v>
      </c>
      <c r="AC1100" s="69">
        <f t="shared" si="270"/>
        <v>0</v>
      </c>
      <c r="AD1100" s="70">
        <v>0</v>
      </c>
      <c r="AE1100" s="63">
        <v>40451</v>
      </c>
      <c r="AF1100" s="72"/>
      <c r="AG1100" s="63" t="s">
        <v>938</v>
      </c>
      <c r="AH1100" s="23" t="s">
        <v>939</v>
      </c>
      <c r="AI1100" s="60"/>
      <c r="AJ1100" s="124" t="s">
        <v>1608</v>
      </c>
      <c r="AK1100" s="121" t="s">
        <v>753</v>
      </c>
      <c r="AL1100" s="107"/>
      <c r="AM1100" s="108"/>
      <c r="AN1100" s="109"/>
      <c r="AO1100" s="108"/>
      <c r="AP1100" s="108"/>
      <c r="AQ1100" s="108"/>
      <c r="AR1100" s="108"/>
      <c r="AS1100" s="108"/>
      <c r="AT1100" s="108"/>
      <c r="AU1100" s="108"/>
      <c r="AV1100" s="108"/>
      <c r="AW1100" s="108"/>
      <c r="AX1100" s="108"/>
      <c r="AY1100" s="108"/>
      <c r="AZ1100" s="108"/>
      <c r="BA1100" s="108"/>
      <c r="BB1100" s="108"/>
      <c r="BC1100" s="108"/>
      <c r="BD1100" s="108"/>
      <c r="BE1100" s="108"/>
      <c r="BF1100" s="108"/>
      <c r="BG1100" s="108"/>
      <c r="BH1100" s="108"/>
      <c r="BI1100" s="108"/>
      <c r="BJ1100" s="108"/>
      <c r="BK1100" s="108"/>
      <c r="BL1100" s="108"/>
      <c r="BM1100" s="108"/>
      <c r="BN1100" s="108"/>
      <c r="BO1100" s="108"/>
      <c r="BP1100" s="108"/>
      <c r="BQ1100" s="108"/>
      <c r="BR1100" s="108"/>
      <c r="BS1100" s="108"/>
      <c r="BT1100" s="108"/>
      <c r="BU1100" s="108"/>
      <c r="BV1100" s="108"/>
      <c r="BW1100" s="108"/>
      <c r="BX1100" s="108"/>
      <c r="BY1100" s="108"/>
      <c r="BZ1100" s="108"/>
      <c r="CA1100" s="108"/>
      <c r="CB1100" s="108"/>
      <c r="CC1100" s="108"/>
      <c r="CD1100" s="108"/>
      <c r="CE1100" s="108"/>
      <c r="CF1100" s="108"/>
      <c r="CG1100" s="108"/>
      <c r="CH1100" s="108"/>
      <c r="CI1100" s="108"/>
      <c r="CJ1100" s="108"/>
      <c r="CK1100" s="108"/>
      <c r="CL1100" s="108"/>
      <c r="CM1100" s="108"/>
      <c r="CN1100" s="110"/>
      <c r="CO1100" s="111"/>
      <c r="CP1100" s="110"/>
      <c r="CQ1100" s="111"/>
      <c r="CR1100" s="110"/>
      <c r="CS1100" s="111"/>
      <c r="CT1100" s="112">
        <f t="shared" si="271"/>
        <v>0</v>
      </c>
      <c r="CU1100" s="113"/>
      <c r="CV1100" s="114"/>
      <c r="CW1100" s="115"/>
      <c r="CX1100" s="116"/>
      <c r="CY1100" s="117"/>
      <c r="CZ1100" s="116"/>
      <c r="DA1100" s="113"/>
      <c r="DB1100" s="114"/>
      <c r="DC1100" s="64"/>
      <c r="DD1100" s="118"/>
    </row>
    <row r="1101" spans="1:108" s="119" customFormat="1" ht="24" outlineLevel="2">
      <c r="A1101" s="178">
        <v>40452</v>
      </c>
      <c r="B1101" s="164" t="s">
        <v>1666</v>
      </c>
      <c r="C1101" s="164" t="s">
        <v>1113</v>
      </c>
      <c r="D1101" s="165" t="s">
        <v>1182</v>
      </c>
      <c r="E1101" s="163"/>
      <c r="F1101" s="105"/>
      <c r="G1101" s="105"/>
      <c r="H1101" s="105">
        <v>20</v>
      </c>
      <c r="I1101" s="105">
        <v>4</v>
      </c>
      <c r="J1101" s="105"/>
      <c r="K1101" s="105">
        <v>4</v>
      </c>
      <c r="L1101" s="105"/>
      <c r="M1101" s="105"/>
      <c r="N1101" s="105"/>
      <c r="O1101" s="105">
        <v>1</v>
      </c>
      <c r="P1101" s="105">
        <v>1</v>
      </c>
      <c r="Q1101" s="105"/>
      <c r="R1101" s="105"/>
      <c r="S1101" s="105"/>
      <c r="T1101" s="106"/>
      <c r="U1101" s="130"/>
      <c r="V1101" s="1"/>
      <c r="W1101" s="68">
        <f t="shared" si="266"/>
        <v>0</v>
      </c>
      <c r="X1101" s="68">
        <f t="shared" si="267"/>
        <v>0</v>
      </c>
      <c r="Y1101" s="68">
        <f t="shared" si="272"/>
        <v>0</v>
      </c>
      <c r="Z1101" s="68">
        <f t="shared" si="269"/>
        <v>0</v>
      </c>
      <c r="AA1101" s="68"/>
      <c r="AB1101" s="68">
        <v>0</v>
      </c>
      <c r="AC1101" s="69">
        <f t="shared" si="270"/>
        <v>0</v>
      </c>
      <c r="AD1101" s="70">
        <v>0</v>
      </c>
      <c r="AE1101" s="63">
        <v>40455</v>
      </c>
      <c r="AF1101" s="72"/>
      <c r="AG1101" s="63" t="s">
        <v>938</v>
      </c>
      <c r="AH1101" s="23" t="s">
        <v>939</v>
      </c>
      <c r="AI1101" s="60"/>
      <c r="AJ1101" s="124" t="s">
        <v>1608</v>
      </c>
      <c r="AK1101" s="121" t="s">
        <v>769</v>
      </c>
      <c r="AL1101" s="107"/>
      <c r="AM1101" s="108"/>
      <c r="AN1101" s="109"/>
      <c r="AO1101" s="108"/>
      <c r="AP1101" s="108"/>
      <c r="AQ1101" s="108"/>
      <c r="AR1101" s="108"/>
      <c r="AS1101" s="108"/>
      <c r="AT1101" s="108"/>
      <c r="AU1101" s="108"/>
      <c r="AV1101" s="108"/>
      <c r="AW1101" s="108"/>
      <c r="AX1101" s="108"/>
      <c r="AY1101" s="108"/>
      <c r="AZ1101" s="108"/>
      <c r="BA1101" s="108"/>
      <c r="BB1101" s="108"/>
      <c r="BC1101" s="108"/>
      <c r="BD1101" s="108"/>
      <c r="BE1101" s="108"/>
      <c r="BF1101" s="108"/>
      <c r="BG1101" s="108"/>
      <c r="BH1101" s="108"/>
      <c r="BI1101" s="108"/>
      <c r="BJ1101" s="108"/>
      <c r="BK1101" s="108"/>
      <c r="BL1101" s="108"/>
      <c r="BM1101" s="108"/>
      <c r="BN1101" s="108"/>
      <c r="BO1101" s="108"/>
      <c r="BP1101" s="108"/>
      <c r="BQ1101" s="108"/>
      <c r="BR1101" s="108"/>
      <c r="BS1101" s="108"/>
      <c r="BT1101" s="108"/>
      <c r="BU1101" s="108"/>
      <c r="BV1101" s="108"/>
      <c r="BW1101" s="108"/>
      <c r="BX1101" s="108"/>
      <c r="BY1101" s="108"/>
      <c r="BZ1101" s="108"/>
      <c r="CA1101" s="108"/>
      <c r="CB1101" s="108"/>
      <c r="CC1101" s="108"/>
      <c r="CD1101" s="108"/>
      <c r="CE1101" s="108"/>
      <c r="CF1101" s="108"/>
      <c r="CG1101" s="108"/>
      <c r="CH1101" s="108"/>
      <c r="CI1101" s="108"/>
      <c r="CJ1101" s="108"/>
      <c r="CK1101" s="108"/>
      <c r="CL1101" s="108"/>
      <c r="CM1101" s="108"/>
      <c r="CN1101" s="110"/>
      <c r="CO1101" s="111"/>
      <c r="CP1101" s="110"/>
      <c r="CQ1101" s="111"/>
      <c r="CR1101" s="110"/>
      <c r="CS1101" s="111"/>
      <c r="CT1101" s="112">
        <f t="shared" si="271"/>
        <v>0</v>
      </c>
      <c r="CU1101" s="113"/>
      <c r="CV1101" s="114"/>
      <c r="CW1101" s="115"/>
      <c r="CX1101" s="116"/>
      <c r="CY1101" s="117"/>
      <c r="CZ1101" s="116"/>
      <c r="DA1101" s="113"/>
      <c r="DB1101" s="114"/>
      <c r="DC1101" s="64"/>
      <c r="DD1101" s="118"/>
    </row>
    <row r="1102" spans="1:108" s="119" customFormat="1" ht="24" outlineLevel="2">
      <c r="A1102" s="178">
        <v>40454</v>
      </c>
      <c r="B1102" s="164" t="s">
        <v>1666</v>
      </c>
      <c r="C1102" s="164" t="s">
        <v>1727</v>
      </c>
      <c r="D1102" s="165" t="s">
        <v>1182</v>
      </c>
      <c r="E1102" s="163">
        <v>2</v>
      </c>
      <c r="F1102" s="105"/>
      <c r="G1102" s="105">
        <v>1</v>
      </c>
      <c r="H1102" s="105">
        <v>10</v>
      </c>
      <c r="I1102" s="105">
        <v>2</v>
      </c>
      <c r="J1102" s="105">
        <v>2</v>
      </c>
      <c r="K1102" s="105"/>
      <c r="L1102" s="105"/>
      <c r="M1102" s="105"/>
      <c r="N1102" s="105"/>
      <c r="O1102" s="105">
        <v>1</v>
      </c>
      <c r="P1102" s="105">
        <v>1</v>
      </c>
      <c r="Q1102" s="105"/>
      <c r="R1102" s="105"/>
      <c r="S1102" s="105"/>
      <c r="T1102" s="106"/>
      <c r="U1102" s="130"/>
      <c r="V1102" s="1"/>
      <c r="W1102" s="68">
        <f t="shared" si="266"/>
        <v>0</v>
      </c>
      <c r="X1102" s="68">
        <f t="shared" si="267"/>
        <v>0</v>
      </c>
      <c r="Y1102" s="68">
        <f t="shared" si="272"/>
        <v>0</v>
      </c>
      <c r="Z1102" s="68">
        <f t="shared" si="269"/>
        <v>0</v>
      </c>
      <c r="AA1102" s="68"/>
      <c r="AB1102" s="68">
        <v>0</v>
      </c>
      <c r="AC1102" s="69">
        <f t="shared" si="270"/>
        <v>0</v>
      </c>
      <c r="AD1102" s="70">
        <v>0</v>
      </c>
      <c r="AE1102" s="63">
        <v>40455</v>
      </c>
      <c r="AF1102" s="72"/>
      <c r="AG1102" s="63" t="s">
        <v>938</v>
      </c>
      <c r="AH1102" s="23" t="s">
        <v>939</v>
      </c>
      <c r="AI1102" s="60"/>
      <c r="AJ1102" s="124" t="s">
        <v>1608</v>
      </c>
      <c r="AK1102" s="121" t="s">
        <v>778</v>
      </c>
      <c r="AL1102" s="107"/>
      <c r="AM1102" s="108"/>
      <c r="AN1102" s="109"/>
      <c r="AO1102" s="108"/>
      <c r="AP1102" s="108"/>
      <c r="AQ1102" s="108"/>
      <c r="AR1102" s="108"/>
      <c r="AS1102" s="108"/>
      <c r="AT1102" s="108"/>
      <c r="AU1102" s="108"/>
      <c r="AV1102" s="108"/>
      <c r="AW1102" s="108"/>
      <c r="AX1102" s="108"/>
      <c r="AY1102" s="108"/>
      <c r="AZ1102" s="108"/>
      <c r="BA1102" s="108"/>
      <c r="BB1102" s="108"/>
      <c r="BC1102" s="108"/>
      <c r="BD1102" s="108"/>
      <c r="BE1102" s="108"/>
      <c r="BF1102" s="108"/>
      <c r="BG1102" s="108"/>
      <c r="BH1102" s="108"/>
      <c r="BI1102" s="108"/>
      <c r="BJ1102" s="108"/>
      <c r="BK1102" s="108"/>
      <c r="BL1102" s="108"/>
      <c r="BM1102" s="108"/>
      <c r="BN1102" s="108"/>
      <c r="BO1102" s="108"/>
      <c r="BP1102" s="108"/>
      <c r="BQ1102" s="108"/>
      <c r="BR1102" s="108"/>
      <c r="BS1102" s="108"/>
      <c r="BT1102" s="108"/>
      <c r="BU1102" s="108"/>
      <c r="BV1102" s="108"/>
      <c r="BW1102" s="108"/>
      <c r="BX1102" s="108"/>
      <c r="BY1102" s="108"/>
      <c r="BZ1102" s="108"/>
      <c r="CA1102" s="108"/>
      <c r="CB1102" s="108"/>
      <c r="CC1102" s="108"/>
      <c r="CD1102" s="108"/>
      <c r="CE1102" s="108"/>
      <c r="CF1102" s="108"/>
      <c r="CG1102" s="108"/>
      <c r="CH1102" s="108"/>
      <c r="CI1102" s="108"/>
      <c r="CJ1102" s="108"/>
      <c r="CK1102" s="108"/>
      <c r="CL1102" s="108"/>
      <c r="CM1102" s="108"/>
      <c r="CN1102" s="110"/>
      <c r="CO1102" s="111"/>
      <c r="CP1102" s="110"/>
      <c r="CQ1102" s="111"/>
      <c r="CR1102" s="110"/>
      <c r="CS1102" s="111"/>
      <c r="CT1102" s="112">
        <f t="shared" si="271"/>
        <v>0</v>
      </c>
      <c r="CU1102" s="113"/>
      <c r="CV1102" s="114"/>
      <c r="CW1102" s="115"/>
      <c r="CX1102" s="116"/>
      <c r="CY1102" s="117"/>
      <c r="CZ1102" s="116"/>
      <c r="DA1102" s="113"/>
      <c r="DB1102" s="114"/>
      <c r="DC1102" s="64"/>
      <c r="DD1102" s="118"/>
    </row>
    <row r="1103" spans="1:108" s="119" customFormat="1" ht="36" outlineLevel="2">
      <c r="A1103" s="178">
        <v>40455</v>
      </c>
      <c r="B1103" s="164" t="s">
        <v>1666</v>
      </c>
      <c r="C1103" s="164" t="s">
        <v>1387</v>
      </c>
      <c r="D1103" s="166" t="s">
        <v>1262</v>
      </c>
      <c r="E1103" s="163"/>
      <c r="F1103" s="105"/>
      <c r="G1103" s="105"/>
      <c r="H1103" s="105"/>
      <c r="I1103" s="105"/>
      <c r="J1103" s="105"/>
      <c r="K1103" s="105"/>
      <c r="L1103" s="105"/>
      <c r="M1103" s="105"/>
      <c r="N1103" s="105"/>
      <c r="O1103" s="105"/>
      <c r="P1103" s="105"/>
      <c r="Q1103" s="105"/>
      <c r="R1103" s="105"/>
      <c r="S1103" s="105"/>
      <c r="T1103" s="106"/>
      <c r="U1103" s="130" t="s">
        <v>1498</v>
      </c>
      <c r="V1103" s="1"/>
      <c r="W1103" s="68">
        <f t="shared" si="266"/>
        <v>0</v>
      </c>
      <c r="X1103" s="68">
        <f t="shared" si="267"/>
        <v>0</v>
      </c>
      <c r="Y1103" s="68">
        <f t="shared" si="272"/>
        <v>0</v>
      </c>
      <c r="Z1103" s="68">
        <f t="shared" si="269"/>
        <v>0</v>
      </c>
      <c r="AA1103" s="68"/>
      <c r="AB1103" s="68">
        <v>0</v>
      </c>
      <c r="AC1103" s="69">
        <f t="shared" si="270"/>
        <v>0</v>
      </c>
      <c r="AD1103" s="70">
        <v>0</v>
      </c>
      <c r="AE1103" s="63">
        <v>40455</v>
      </c>
      <c r="AF1103" s="72"/>
      <c r="AG1103" s="63" t="s">
        <v>938</v>
      </c>
      <c r="AH1103" s="23" t="s">
        <v>939</v>
      </c>
      <c r="AI1103" s="60"/>
      <c r="AJ1103" s="124" t="s">
        <v>1608</v>
      </c>
      <c r="AK1103" s="121" t="s">
        <v>198</v>
      </c>
      <c r="AL1103" s="107"/>
      <c r="AM1103" s="108"/>
      <c r="AN1103" s="109"/>
      <c r="AO1103" s="108"/>
      <c r="AP1103" s="108"/>
      <c r="AQ1103" s="108"/>
      <c r="AR1103" s="108"/>
      <c r="AS1103" s="108"/>
      <c r="AT1103" s="108"/>
      <c r="AU1103" s="108"/>
      <c r="AV1103" s="108"/>
      <c r="AW1103" s="108"/>
      <c r="AX1103" s="108"/>
      <c r="AY1103" s="108"/>
      <c r="AZ1103" s="108"/>
      <c r="BA1103" s="108"/>
      <c r="BB1103" s="108"/>
      <c r="BC1103" s="108"/>
      <c r="BD1103" s="108"/>
      <c r="BE1103" s="108"/>
      <c r="BF1103" s="108"/>
      <c r="BG1103" s="108"/>
      <c r="BH1103" s="108"/>
      <c r="BI1103" s="108"/>
      <c r="BJ1103" s="108"/>
      <c r="BK1103" s="108"/>
      <c r="BL1103" s="108"/>
      <c r="BM1103" s="108"/>
      <c r="BN1103" s="108"/>
      <c r="BO1103" s="108"/>
      <c r="BP1103" s="108"/>
      <c r="BQ1103" s="108"/>
      <c r="BR1103" s="108"/>
      <c r="BS1103" s="108"/>
      <c r="BT1103" s="108"/>
      <c r="BU1103" s="108"/>
      <c r="BV1103" s="108"/>
      <c r="BW1103" s="108"/>
      <c r="BX1103" s="108"/>
      <c r="BY1103" s="108"/>
      <c r="BZ1103" s="108"/>
      <c r="CA1103" s="108"/>
      <c r="CB1103" s="108"/>
      <c r="CC1103" s="108"/>
      <c r="CD1103" s="108"/>
      <c r="CE1103" s="108"/>
      <c r="CF1103" s="108"/>
      <c r="CG1103" s="108"/>
      <c r="CH1103" s="108"/>
      <c r="CI1103" s="108"/>
      <c r="CJ1103" s="108"/>
      <c r="CK1103" s="108"/>
      <c r="CL1103" s="108"/>
      <c r="CM1103" s="108"/>
      <c r="CN1103" s="110"/>
      <c r="CO1103" s="111"/>
      <c r="CP1103" s="110"/>
      <c r="CQ1103" s="111"/>
      <c r="CR1103" s="110"/>
      <c r="CS1103" s="111"/>
      <c r="CT1103" s="112">
        <f t="shared" si="271"/>
        <v>0</v>
      </c>
      <c r="CU1103" s="113"/>
      <c r="CV1103" s="114"/>
      <c r="CW1103" s="115"/>
      <c r="CX1103" s="116"/>
      <c r="CY1103" s="117"/>
      <c r="CZ1103" s="116"/>
      <c r="DA1103" s="113"/>
      <c r="DB1103" s="114"/>
      <c r="DC1103" s="64"/>
      <c r="DD1103" s="118"/>
    </row>
    <row r="1104" spans="1:108" s="119" customFormat="1" ht="24" outlineLevel="2">
      <c r="A1104" s="178">
        <v>40455</v>
      </c>
      <c r="B1104" s="164" t="s">
        <v>1666</v>
      </c>
      <c r="C1104" s="164" t="s">
        <v>1549</v>
      </c>
      <c r="D1104" s="166" t="s">
        <v>1262</v>
      </c>
      <c r="E1104" s="163"/>
      <c r="F1104" s="105"/>
      <c r="G1104" s="105"/>
      <c r="H1104" s="105">
        <v>200</v>
      </c>
      <c r="I1104" s="105">
        <v>40</v>
      </c>
      <c r="J1104" s="105"/>
      <c r="K1104" s="105"/>
      <c r="L1104" s="105"/>
      <c r="M1104" s="105"/>
      <c r="N1104" s="105"/>
      <c r="O1104" s="105"/>
      <c r="P1104" s="105"/>
      <c r="Q1104" s="105"/>
      <c r="R1104" s="105"/>
      <c r="S1104" s="105"/>
      <c r="T1104" s="106"/>
      <c r="U1104" s="130"/>
      <c r="V1104" s="1"/>
      <c r="W1104" s="68">
        <f t="shared" ref="W1104:W1135" si="273">CT1104</f>
        <v>0</v>
      </c>
      <c r="X1104" s="68">
        <f t="shared" ref="X1104:X1135" si="274">CX1104</f>
        <v>0</v>
      </c>
      <c r="Y1104" s="68">
        <f t="shared" si="272"/>
        <v>0</v>
      </c>
      <c r="Z1104" s="68">
        <f t="shared" ref="Z1104:Z1135" si="275">CV1104</f>
        <v>0</v>
      </c>
      <c r="AA1104" s="68"/>
      <c r="AB1104" s="68">
        <v>0</v>
      </c>
      <c r="AC1104" s="69">
        <f t="shared" ref="AC1104:AC1135" si="276">W1104+X1104+Y1104+Z1104+AA1104+AB1104</f>
        <v>0</v>
      </c>
      <c r="AD1104" s="70">
        <v>0</v>
      </c>
      <c r="AE1104" s="63">
        <v>40455</v>
      </c>
      <c r="AF1104" s="72"/>
      <c r="AG1104" s="63" t="s">
        <v>938</v>
      </c>
      <c r="AH1104" s="23" t="s">
        <v>939</v>
      </c>
      <c r="AI1104" s="60"/>
      <c r="AJ1104" s="124" t="s">
        <v>1608</v>
      </c>
      <c r="AK1104" s="121" t="s">
        <v>197</v>
      </c>
      <c r="AL1104" s="107"/>
      <c r="AM1104" s="108"/>
      <c r="AN1104" s="109"/>
      <c r="AO1104" s="108"/>
      <c r="AP1104" s="108"/>
      <c r="AQ1104" s="108"/>
      <c r="AR1104" s="108"/>
      <c r="AS1104" s="108"/>
      <c r="AT1104" s="108"/>
      <c r="AU1104" s="108"/>
      <c r="AV1104" s="108"/>
      <c r="AW1104" s="108"/>
      <c r="AX1104" s="108"/>
      <c r="AY1104" s="108"/>
      <c r="AZ1104" s="108"/>
      <c r="BA1104" s="108"/>
      <c r="BB1104" s="108"/>
      <c r="BC1104" s="108"/>
      <c r="BD1104" s="108"/>
      <c r="BE1104" s="108"/>
      <c r="BF1104" s="108"/>
      <c r="BG1104" s="108"/>
      <c r="BH1104" s="108"/>
      <c r="BI1104" s="108"/>
      <c r="BJ1104" s="108"/>
      <c r="BK1104" s="108"/>
      <c r="BL1104" s="108"/>
      <c r="BM1104" s="108"/>
      <c r="BN1104" s="108"/>
      <c r="BO1104" s="108"/>
      <c r="BP1104" s="108"/>
      <c r="BQ1104" s="108"/>
      <c r="BR1104" s="108"/>
      <c r="BS1104" s="108"/>
      <c r="BT1104" s="108"/>
      <c r="BU1104" s="108"/>
      <c r="BV1104" s="108"/>
      <c r="BW1104" s="108"/>
      <c r="BX1104" s="108"/>
      <c r="BY1104" s="108"/>
      <c r="BZ1104" s="108"/>
      <c r="CA1104" s="108"/>
      <c r="CB1104" s="108"/>
      <c r="CC1104" s="108"/>
      <c r="CD1104" s="108"/>
      <c r="CE1104" s="108"/>
      <c r="CF1104" s="108"/>
      <c r="CG1104" s="108"/>
      <c r="CH1104" s="108"/>
      <c r="CI1104" s="108"/>
      <c r="CJ1104" s="108"/>
      <c r="CK1104" s="108"/>
      <c r="CL1104" s="108"/>
      <c r="CM1104" s="108"/>
      <c r="CN1104" s="110"/>
      <c r="CO1104" s="111"/>
      <c r="CP1104" s="110"/>
      <c r="CQ1104" s="111"/>
      <c r="CR1104" s="110"/>
      <c r="CS1104" s="111"/>
      <c r="CT1104" s="112">
        <f t="shared" ref="CT1104:CT1135" si="277">AM1104+AO1104+AQ1104+AS1104+AU1104+AW1104+AY1104+BA1104+BC1104+BE1104+BG1104+BI1104+BK1104+BM1104+BO1104+BQ1104+BS1104+BU1104+BW1104+BY1104+CA1104+CC1104+CE1104+CG1104+CI1104+CK1104+CM1104+CO1104+CQ1104+CS1104</f>
        <v>0</v>
      </c>
      <c r="CU1104" s="113"/>
      <c r="CV1104" s="114"/>
      <c r="CW1104" s="115"/>
      <c r="CX1104" s="116"/>
      <c r="CY1104" s="117"/>
      <c r="CZ1104" s="116"/>
      <c r="DA1104" s="113"/>
      <c r="DB1104" s="114"/>
      <c r="DC1104" s="64"/>
      <c r="DD1104" s="118"/>
    </row>
    <row r="1105" spans="1:108" s="119" customFormat="1" ht="36" outlineLevel="2">
      <c r="A1105" s="178">
        <v>40456</v>
      </c>
      <c r="B1105" s="164" t="s">
        <v>1666</v>
      </c>
      <c r="C1105" s="164" t="s">
        <v>1083</v>
      </c>
      <c r="D1105" s="165" t="s">
        <v>1182</v>
      </c>
      <c r="E1105" s="163"/>
      <c r="F1105" s="105"/>
      <c r="G1105" s="105"/>
      <c r="H1105" s="105">
        <v>25</v>
      </c>
      <c r="I1105" s="105">
        <v>5</v>
      </c>
      <c r="J1105" s="105">
        <v>5</v>
      </c>
      <c r="K1105" s="105"/>
      <c r="L1105" s="105">
        <v>1</v>
      </c>
      <c r="M1105" s="105"/>
      <c r="N1105" s="105"/>
      <c r="O1105" s="105"/>
      <c r="P1105" s="105"/>
      <c r="Q1105" s="105"/>
      <c r="R1105" s="105"/>
      <c r="S1105" s="105"/>
      <c r="T1105" s="106"/>
      <c r="U1105" s="130"/>
      <c r="V1105" s="1"/>
      <c r="W1105" s="68">
        <f t="shared" si="273"/>
        <v>0</v>
      </c>
      <c r="X1105" s="68">
        <f t="shared" si="274"/>
        <v>0</v>
      </c>
      <c r="Y1105" s="68">
        <f t="shared" si="272"/>
        <v>0</v>
      </c>
      <c r="Z1105" s="68">
        <f t="shared" si="275"/>
        <v>0</v>
      </c>
      <c r="AA1105" s="68"/>
      <c r="AB1105" s="68">
        <v>0</v>
      </c>
      <c r="AC1105" s="69">
        <f t="shared" si="276"/>
        <v>0</v>
      </c>
      <c r="AD1105" s="70">
        <v>0</v>
      </c>
      <c r="AE1105" s="63">
        <v>40456</v>
      </c>
      <c r="AF1105" s="72"/>
      <c r="AG1105" s="63" t="s">
        <v>938</v>
      </c>
      <c r="AH1105" s="23" t="s">
        <v>939</v>
      </c>
      <c r="AI1105" s="60"/>
      <c r="AJ1105" s="124" t="s">
        <v>1608</v>
      </c>
      <c r="AK1105" s="121" t="s">
        <v>223</v>
      </c>
      <c r="AL1105" s="107"/>
      <c r="AM1105" s="108"/>
      <c r="AN1105" s="109"/>
      <c r="AO1105" s="108"/>
      <c r="AP1105" s="108"/>
      <c r="AQ1105" s="108"/>
      <c r="AR1105" s="108"/>
      <c r="AS1105" s="108"/>
      <c r="AT1105" s="108"/>
      <c r="AU1105" s="108"/>
      <c r="AV1105" s="108"/>
      <c r="AW1105" s="108"/>
      <c r="AX1105" s="108"/>
      <c r="AY1105" s="108"/>
      <c r="AZ1105" s="108"/>
      <c r="BA1105" s="108"/>
      <c r="BB1105" s="108"/>
      <c r="BC1105" s="108"/>
      <c r="BD1105" s="108"/>
      <c r="BE1105" s="108"/>
      <c r="BF1105" s="108"/>
      <c r="BG1105" s="108"/>
      <c r="BH1105" s="108"/>
      <c r="BI1105" s="108"/>
      <c r="BJ1105" s="108"/>
      <c r="BK1105" s="108"/>
      <c r="BL1105" s="108"/>
      <c r="BM1105" s="108"/>
      <c r="BN1105" s="108"/>
      <c r="BO1105" s="108"/>
      <c r="BP1105" s="108"/>
      <c r="BQ1105" s="108"/>
      <c r="BR1105" s="108"/>
      <c r="BS1105" s="108"/>
      <c r="BT1105" s="108"/>
      <c r="BU1105" s="108"/>
      <c r="BV1105" s="108"/>
      <c r="BW1105" s="108"/>
      <c r="BX1105" s="108"/>
      <c r="BY1105" s="108"/>
      <c r="BZ1105" s="108"/>
      <c r="CA1105" s="108"/>
      <c r="CB1105" s="108"/>
      <c r="CC1105" s="108"/>
      <c r="CD1105" s="108"/>
      <c r="CE1105" s="108"/>
      <c r="CF1105" s="108"/>
      <c r="CG1105" s="108"/>
      <c r="CH1105" s="108"/>
      <c r="CI1105" s="108"/>
      <c r="CJ1105" s="108"/>
      <c r="CK1105" s="108"/>
      <c r="CL1105" s="108"/>
      <c r="CM1105" s="108"/>
      <c r="CN1105" s="110"/>
      <c r="CO1105" s="111"/>
      <c r="CP1105" s="110"/>
      <c r="CQ1105" s="111"/>
      <c r="CR1105" s="110"/>
      <c r="CS1105" s="111"/>
      <c r="CT1105" s="112">
        <f t="shared" si="277"/>
        <v>0</v>
      </c>
      <c r="CU1105" s="113"/>
      <c r="CV1105" s="114"/>
      <c r="CW1105" s="115"/>
      <c r="CX1105" s="116"/>
      <c r="CY1105" s="117"/>
      <c r="CZ1105" s="116"/>
      <c r="DA1105" s="113"/>
      <c r="DB1105" s="114"/>
      <c r="DC1105" s="64"/>
      <c r="DD1105" s="118"/>
    </row>
    <row r="1106" spans="1:108" s="119" customFormat="1" ht="22.5" outlineLevel="2">
      <c r="A1106" s="178">
        <v>40457</v>
      </c>
      <c r="B1106" s="164" t="s">
        <v>1666</v>
      </c>
      <c r="C1106" s="164" t="s">
        <v>529</v>
      </c>
      <c r="D1106" s="166" t="s">
        <v>1200</v>
      </c>
      <c r="E1106" s="163"/>
      <c r="F1106" s="105"/>
      <c r="G1106" s="105"/>
      <c r="H1106" s="105">
        <f>40*5</f>
        <v>200</v>
      </c>
      <c r="I1106" s="105">
        <v>40</v>
      </c>
      <c r="J1106" s="105"/>
      <c r="K1106" s="105">
        <v>40</v>
      </c>
      <c r="L1106" s="105"/>
      <c r="M1106" s="105"/>
      <c r="N1106" s="105"/>
      <c r="O1106" s="105"/>
      <c r="P1106" s="105">
        <v>1</v>
      </c>
      <c r="Q1106" s="105"/>
      <c r="R1106" s="105">
        <v>1</v>
      </c>
      <c r="S1106" s="105"/>
      <c r="T1106" s="106"/>
      <c r="U1106" s="130"/>
      <c r="V1106" s="1"/>
      <c r="W1106" s="68">
        <f t="shared" si="273"/>
        <v>0</v>
      </c>
      <c r="X1106" s="68">
        <f t="shared" si="274"/>
        <v>0</v>
      </c>
      <c r="Y1106" s="68">
        <f t="shared" si="272"/>
        <v>0</v>
      </c>
      <c r="Z1106" s="68">
        <f t="shared" si="275"/>
        <v>0</v>
      </c>
      <c r="AA1106" s="68"/>
      <c r="AB1106" s="68">
        <v>0</v>
      </c>
      <c r="AC1106" s="69">
        <f t="shared" si="276"/>
        <v>0</v>
      </c>
      <c r="AD1106" s="70">
        <v>0</v>
      </c>
      <c r="AE1106" s="63">
        <v>40458</v>
      </c>
      <c r="AF1106" s="72"/>
      <c r="AG1106" s="63" t="s">
        <v>938</v>
      </c>
      <c r="AH1106" s="23" t="s">
        <v>939</v>
      </c>
      <c r="AI1106" s="60"/>
      <c r="AJ1106" s="124" t="s">
        <v>1608</v>
      </c>
      <c r="AK1106" s="121" t="s">
        <v>207</v>
      </c>
      <c r="AL1106" s="107"/>
      <c r="AM1106" s="108"/>
      <c r="AN1106" s="109"/>
      <c r="AO1106" s="108"/>
      <c r="AP1106" s="108"/>
      <c r="AQ1106" s="108"/>
      <c r="AR1106" s="108"/>
      <c r="AS1106" s="108"/>
      <c r="AT1106" s="108"/>
      <c r="AU1106" s="108"/>
      <c r="AV1106" s="108"/>
      <c r="AW1106" s="108"/>
      <c r="AX1106" s="108"/>
      <c r="AY1106" s="108"/>
      <c r="AZ1106" s="108"/>
      <c r="BA1106" s="108"/>
      <c r="BB1106" s="108"/>
      <c r="BC1106" s="108"/>
      <c r="BD1106" s="108"/>
      <c r="BE1106" s="108"/>
      <c r="BF1106" s="108"/>
      <c r="BG1106" s="108"/>
      <c r="BH1106" s="108"/>
      <c r="BI1106" s="108"/>
      <c r="BJ1106" s="108"/>
      <c r="BK1106" s="108"/>
      <c r="BL1106" s="108"/>
      <c r="BM1106" s="108"/>
      <c r="BN1106" s="108"/>
      <c r="BO1106" s="108"/>
      <c r="BP1106" s="108"/>
      <c r="BQ1106" s="108"/>
      <c r="BR1106" s="108"/>
      <c r="BS1106" s="108"/>
      <c r="BT1106" s="108"/>
      <c r="BU1106" s="108"/>
      <c r="BV1106" s="108"/>
      <c r="BW1106" s="108"/>
      <c r="BX1106" s="108"/>
      <c r="BY1106" s="108"/>
      <c r="BZ1106" s="108"/>
      <c r="CA1106" s="108"/>
      <c r="CB1106" s="108"/>
      <c r="CC1106" s="108"/>
      <c r="CD1106" s="108"/>
      <c r="CE1106" s="108"/>
      <c r="CF1106" s="108"/>
      <c r="CG1106" s="108"/>
      <c r="CH1106" s="108"/>
      <c r="CI1106" s="108"/>
      <c r="CJ1106" s="108"/>
      <c r="CK1106" s="108"/>
      <c r="CL1106" s="108"/>
      <c r="CM1106" s="108"/>
      <c r="CN1106" s="110"/>
      <c r="CO1106" s="111"/>
      <c r="CP1106" s="110"/>
      <c r="CQ1106" s="111"/>
      <c r="CR1106" s="110"/>
      <c r="CS1106" s="111"/>
      <c r="CT1106" s="112">
        <f t="shared" si="277"/>
        <v>0</v>
      </c>
      <c r="CU1106" s="113"/>
      <c r="CV1106" s="114"/>
      <c r="CW1106" s="115"/>
      <c r="CX1106" s="116"/>
      <c r="CY1106" s="117"/>
      <c r="CZ1106" s="116"/>
      <c r="DA1106" s="113"/>
      <c r="DB1106" s="114"/>
      <c r="DC1106" s="64"/>
      <c r="DD1106" s="118"/>
    </row>
    <row r="1107" spans="1:108" s="119" customFormat="1" ht="22.5" outlineLevel="2">
      <c r="A1107" s="178">
        <v>40483</v>
      </c>
      <c r="B1107" s="164" t="s">
        <v>1666</v>
      </c>
      <c r="C1107" s="164" t="s">
        <v>2</v>
      </c>
      <c r="D1107" s="166" t="s">
        <v>1262</v>
      </c>
      <c r="E1107" s="163"/>
      <c r="F1107" s="105"/>
      <c r="G1107" s="105"/>
      <c r="H1107" s="105">
        <v>25</v>
      </c>
      <c r="I1107" s="105">
        <v>5</v>
      </c>
      <c r="J1107" s="105"/>
      <c r="K1107" s="105">
        <v>5</v>
      </c>
      <c r="L1107" s="105"/>
      <c r="M1107" s="105"/>
      <c r="N1107" s="105"/>
      <c r="O1107" s="105"/>
      <c r="P1107" s="105"/>
      <c r="Q1107" s="105"/>
      <c r="R1107" s="105"/>
      <c r="S1107" s="105"/>
      <c r="T1107" s="106"/>
      <c r="U1107" s="130"/>
      <c r="V1107" s="1"/>
      <c r="W1107" s="68">
        <f t="shared" si="273"/>
        <v>0</v>
      </c>
      <c r="X1107" s="68">
        <f t="shared" si="274"/>
        <v>0</v>
      </c>
      <c r="Y1107" s="68">
        <f t="shared" si="272"/>
        <v>0</v>
      </c>
      <c r="Z1107" s="68">
        <f t="shared" si="275"/>
        <v>0</v>
      </c>
      <c r="AA1107" s="68"/>
      <c r="AB1107" s="68">
        <v>0</v>
      </c>
      <c r="AC1107" s="69">
        <f t="shared" si="276"/>
        <v>0</v>
      </c>
      <c r="AD1107" s="70">
        <v>0</v>
      </c>
      <c r="AE1107" s="63"/>
      <c r="AF1107" s="72"/>
      <c r="AG1107" s="63"/>
      <c r="AH1107" s="23"/>
      <c r="AI1107" s="60"/>
      <c r="AJ1107" s="124"/>
      <c r="AK1107" s="121"/>
      <c r="AL1107" s="107"/>
      <c r="AM1107" s="108"/>
      <c r="AN1107" s="109"/>
      <c r="AO1107" s="108"/>
      <c r="AP1107" s="108"/>
      <c r="AQ1107" s="108"/>
      <c r="AR1107" s="108"/>
      <c r="AS1107" s="108"/>
      <c r="AT1107" s="108"/>
      <c r="AU1107" s="108"/>
      <c r="AV1107" s="108"/>
      <c r="AW1107" s="108"/>
      <c r="AX1107" s="108"/>
      <c r="AY1107" s="108"/>
      <c r="AZ1107" s="108"/>
      <c r="BA1107" s="108"/>
      <c r="BB1107" s="108"/>
      <c r="BC1107" s="108"/>
      <c r="BD1107" s="108"/>
      <c r="BE1107" s="108"/>
      <c r="BF1107" s="108"/>
      <c r="BG1107" s="108"/>
      <c r="BH1107" s="108"/>
      <c r="BI1107" s="108"/>
      <c r="BJ1107" s="108"/>
      <c r="BK1107" s="108"/>
      <c r="BL1107" s="108"/>
      <c r="BM1107" s="108"/>
      <c r="BN1107" s="108"/>
      <c r="BO1107" s="108"/>
      <c r="BP1107" s="108"/>
      <c r="BQ1107" s="108"/>
      <c r="BR1107" s="108"/>
      <c r="BS1107" s="108"/>
      <c r="BT1107" s="108"/>
      <c r="BU1107" s="108"/>
      <c r="BV1107" s="108"/>
      <c r="BW1107" s="108"/>
      <c r="BX1107" s="108"/>
      <c r="BY1107" s="108"/>
      <c r="BZ1107" s="108"/>
      <c r="CA1107" s="108"/>
      <c r="CB1107" s="108"/>
      <c r="CC1107" s="108"/>
      <c r="CD1107" s="108"/>
      <c r="CE1107" s="108"/>
      <c r="CF1107" s="108"/>
      <c r="CG1107" s="108"/>
      <c r="CH1107" s="108"/>
      <c r="CI1107" s="108"/>
      <c r="CJ1107" s="108"/>
      <c r="CK1107" s="108"/>
      <c r="CL1107" s="108"/>
      <c r="CM1107" s="108"/>
      <c r="CN1107" s="110"/>
      <c r="CO1107" s="111"/>
      <c r="CP1107" s="110"/>
      <c r="CQ1107" s="111"/>
      <c r="CR1107" s="110"/>
      <c r="CS1107" s="111"/>
      <c r="CT1107" s="112">
        <f t="shared" si="277"/>
        <v>0</v>
      </c>
      <c r="CU1107" s="113"/>
      <c r="CV1107" s="114"/>
      <c r="CW1107" s="115"/>
      <c r="CX1107" s="116"/>
      <c r="CY1107" s="117"/>
      <c r="CZ1107" s="116"/>
      <c r="DA1107" s="113"/>
      <c r="DB1107" s="114"/>
      <c r="DC1107" s="64"/>
      <c r="DD1107" s="118"/>
    </row>
    <row r="1108" spans="1:108" s="119" customFormat="1" ht="22.5" outlineLevel="2">
      <c r="A1108" s="178">
        <v>40483</v>
      </c>
      <c r="B1108" s="164" t="s">
        <v>1666</v>
      </c>
      <c r="C1108" s="164" t="s">
        <v>2351</v>
      </c>
      <c r="D1108" s="166" t="s">
        <v>1262</v>
      </c>
      <c r="E1108" s="163"/>
      <c r="F1108" s="105"/>
      <c r="G1108" s="105"/>
      <c r="H1108" s="105">
        <v>45</v>
      </c>
      <c r="I1108" s="105">
        <v>9</v>
      </c>
      <c r="J1108" s="105">
        <v>2</v>
      </c>
      <c r="K1108" s="105">
        <v>2</v>
      </c>
      <c r="L1108" s="105"/>
      <c r="M1108" s="105"/>
      <c r="N1108" s="105"/>
      <c r="O1108" s="105"/>
      <c r="P1108" s="105"/>
      <c r="Q1108" s="105"/>
      <c r="R1108" s="105"/>
      <c r="S1108" s="105"/>
      <c r="T1108" s="106"/>
      <c r="U1108" s="130"/>
      <c r="V1108" s="1"/>
      <c r="W1108" s="68">
        <f t="shared" si="273"/>
        <v>0</v>
      </c>
      <c r="X1108" s="68">
        <f t="shared" si="274"/>
        <v>0</v>
      </c>
      <c r="Y1108" s="68">
        <f t="shared" si="272"/>
        <v>0</v>
      </c>
      <c r="Z1108" s="68">
        <f t="shared" si="275"/>
        <v>0</v>
      </c>
      <c r="AA1108" s="68"/>
      <c r="AB1108" s="68">
        <v>0</v>
      </c>
      <c r="AC1108" s="69">
        <f t="shared" si="276"/>
        <v>0</v>
      </c>
      <c r="AD1108" s="70">
        <v>0</v>
      </c>
      <c r="AE1108" s="63"/>
      <c r="AF1108" s="72"/>
      <c r="AG1108" s="63"/>
      <c r="AH1108" s="23"/>
      <c r="AI1108" s="60"/>
      <c r="AJ1108" s="124"/>
      <c r="AK1108" s="121"/>
      <c r="AL1108" s="107"/>
      <c r="AM1108" s="108"/>
      <c r="AN1108" s="109"/>
      <c r="AO1108" s="108"/>
      <c r="AP1108" s="108"/>
      <c r="AQ1108" s="108"/>
      <c r="AR1108" s="108"/>
      <c r="AS1108" s="108"/>
      <c r="AT1108" s="108"/>
      <c r="AU1108" s="108"/>
      <c r="AV1108" s="108"/>
      <c r="AW1108" s="108"/>
      <c r="AX1108" s="108"/>
      <c r="AY1108" s="108"/>
      <c r="AZ1108" s="108"/>
      <c r="BA1108" s="108"/>
      <c r="BB1108" s="108"/>
      <c r="BC1108" s="108"/>
      <c r="BD1108" s="108"/>
      <c r="BE1108" s="108"/>
      <c r="BF1108" s="108"/>
      <c r="BG1108" s="108"/>
      <c r="BH1108" s="108"/>
      <c r="BI1108" s="108"/>
      <c r="BJ1108" s="108"/>
      <c r="BK1108" s="108"/>
      <c r="BL1108" s="108"/>
      <c r="BM1108" s="108"/>
      <c r="BN1108" s="108"/>
      <c r="BO1108" s="108"/>
      <c r="BP1108" s="108"/>
      <c r="BQ1108" s="108"/>
      <c r="BR1108" s="108"/>
      <c r="BS1108" s="108"/>
      <c r="BT1108" s="108"/>
      <c r="BU1108" s="108"/>
      <c r="BV1108" s="108"/>
      <c r="BW1108" s="108"/>
      <c r="BX1108" s="108"/>
      <c r="BY1108" s="108"/>
      <c r="BZ1108" s="108"/>
      <c r="CA1108" s="108"/>
      <c r="CB1108" s="108"/>
      <c r="CC1108" s="108"/>
      <c r="CD1108" s="108"/>
      <c r="CE1108" s="108"/>
      <c r="CF1108" s="108"/>
      <c r="CG1108" s="108"/>
      <c r="CH1108" s="108"/>
      <c r="CI1108" s="108"/>
      <c r="CJ1108" s="108"/>
      <c r="CK1108" s="108"/>
      <c r="CL1108" s="108"/>
      <c r="CM1108" s="108"/>
      <c r="CN1108" s="110"/>
      <c r="CO1108" s="111"/>
      <c r="CP1108" s="110"/>
      <c r="CQ1108" s="111"/>
      <c r="CR1108" s="110"/>
      <c r="CS1108" s="111"/>
      <c r="CT1108" s="112">
        <f t="shared" si="277"/>
        <v>0</v>
      </c>
      <c r="CU1108" s="113"/>
      <c r="CV1108" s="114"/>
      <c r="CW1108" s="115"/>
      <c r="CX1108" s="116"/>
      <c r="CY1108" s="117"/>
      <c r="CZ1108" s="116"/>
      <c r="DA1108" s="113"/>
      <c r="DB1108" s="114"/>
      <c r="DC1108" s="64"/>
      <c r="DD1108" s="118"/>
    </row>
    <row r="1109" spans="1:108" s="119" customFormat="1" ht="22.5" outlineLevel="2">
      <c r="A1109" s="178">
        <v>40483</v>
      </c>
      <c r="B1109" s="164" t="s">
        <v>1666</v>
      </c>
      <c r="C1109" s="164" t="s">
        <v>2352</v>
      </c>
      <c r="D1109" s="166" t="s">
        <v>1262</v>
      </c>
      <c r="E1109" s="163"/>
      <c r="F1109" s="105"/>
      <c r="G1109" s="105"/>
      <c r="H1109" s="105">
        <v>105</v>
      </c>
      <c r="I1109" s="105">
        <v>21</v>
      </c>
      <c r="J1109" s="105">
        <v>1</v>
      </c>
      <c r="K1109" s="105">
        <v>20</v>
      </c>
      <c r="L1109" s="105"/>
      <c r="M1109" s="105"/>
      <c r="N1109" s="105"/>
      <c r="O1109" s="105"/>
      <c r="P1109" s="105"/>
      <c r="Q1109" s="105"/>
      <c r="R1109" s="105"/>
      <c r="S1109" s="105"/>
      <c r="T1109" s="106"/>
      <c r="U1109" s="130"/>
      <c r="V1109" s="1"/>
      <c r="W1109" s="68">
        <f t="shared" si="273"/>
        <v>0</v>
      </c>
      <c r="X1109" s="68">
        <f t="shared" si="274"/>
        <v>0</v>
      </c>
      <c r="Y1109" s="68">
        <f t="shared" si="272"/>
        <v>0</v>
      </c>
      <c r="Z1109" s="68">
        <f t="shared" si="275"/>
        <v>0</v>
      </c>
      <c r="AA1109" s="68"/>
      <c r="AB1109" s="68">
        <v>0</v>
      </c>
      <c r="AC1109" s="69">
        <f t="shared" si="276"/>
        <v>0</v>
      </c>
      <c r="AD1109" s="70">
        <v>0</v>
      </c>
      <c r="AE1109" s="63"/>
      <c r="AF1109" s="72"/>
      <c r="AG1109" s="63"/>
      <c r="AH1109" s="23"/>
      <c r="AI1109" s="60"/>
      <c r="AJ1109" s="124"/>
      <c r="AK1109" s="121"/>
      <c r="AL1109" s="107"/>
      <c r="AM1109" s="108"/>
      <c r="AN1109" s="109"/>
      <c r="AO1109" s="108"/>
      <c r="AP1109" s="108"/>
      <c r="AQ1109" s="108"/>
      <c r="AR1109" s="108"/>
      <c r="AS1109" s="108"/>
      <c r="AT1109" s="108"/>
      <c r="AU1109" s="108"/>
      <c r="AV1109" s="108"/>
      <c r="AW1109" s="108"/>
      <c r="AX1109" s="108"/>
      <c r="AY1109" s="108"/>
      <c r="AZ1109" s="108"/>
      <c r="BA1109" s="108"/>
      <c r="BB1109" s="108"/>
      <c r="BC1109" s="108"/>
      <c r="BD1109" s="108"/>
      <c r="BE1109" s="108"/>
      <c r="BF1109" s="108"/>
      <c r="BG1109" s="108"/>
      <c r="BH1109" s="108"/>
      <c r="BI1109" s="108"/>
      <c r="BJ1109" s="108"/>
      <c r="BK1109" s="108"/>
      <c r="BL1109" s="108"/>
      <c r="BM1109" s="108"/>
      <c r="BN1109" s="108"/>
      <c r="BO1109" s="108"/>
      <c r="BP1109" s="108"/>
      <c r="BQ1109" s="108"/>
      <c r="BR1109" s="108"/>
      <c r="BS1109" s="108"/>
      <c r="BT1109" s="108"/>
      <c r="BU1109" s="108"/>
      <c r="BV1109" s="108"/>
      <c r="BW1109" s="108"/>
      <c r="BX1109" s="108"/>
      <c r="BY1109" s="108"/>
      <c r="BZ1109" s="108"/>
      <c r="CA1109" s="108"/>
      <c r="CB1109" s="108"/>
      <c r="CC1109" s="108"/>
      <c r="CD1109" s="108"/>
      <c r="CE1109" s="108"/>
      <c r="CF1109" s="108"/>
      <c r="CG1109" s="108"/>
      <c r="CH1109" s="108"/>
      <c r="CI1109" s="108"/>
      <c r="CJ1109" s="108"/>
      <c r="CK1109" s="108"/>
      <c r="CL1109" s="108"/>
      <c r="CM1109" s="108"/>
      <c r="CN1109" s="110"/>
      <c r="CO1109" s="111"/>
      <c r="CP1109" s="110"/>
      <c r="CQ1109" s="111"/>
      <c r="CR1109" s="110"/>
      <c r="CS1109" s="111"/>
      <c r="CT1109" s="112">
        <f t="shared" si="277"/>
        <v>0</v>
      </c>
      <c r="CU1109" s="113"/>
      <c r="CV1109" s="114"/>
      <c r="CW1109" s="115"/>
      <c r="CX1109" s="116"/>
      <c r="CY1109" s="117"/>
      <c r="CZ1109" s="116"/>
      <c r="DA1109" s="113"/>
      <c r="DB1109" s="114"/>
      <c r="DC1109" s="64"/>
      <c r="DD1109" s="118"/>
    </row>
    <row r="1110" spans="1:108" s="119" customFormat="1" ht="22.5" outlineLevel="2">
      <c r="A1110" s="178">
        <v>40483</v>
      </c>
      <c r="B1110" s="164" t="s">
        <v>1666</v>
      </c>
      <c r="C1110" s="164" t="s">
        <v>199</v>
      </c>
      <c r="D1110" s="166" t="s">
        <v>1262</v>
      </c>
      <c r="E1110" s="163"/>
      <c r="F1110" s="105"/>
      <c r="G1110" s="105"/>
      <c r="H1110" s="105">
        <v>250</v>
      </c>
      <c r="I1110" s="105">
        <v>50</v>
      </c>
      <c r="J1110" s="105"/>
      <c r="K1110" s="105"/>
      <c r="L1110" s="105"/>
      <c r="M1110" s="105"/>
      <c r="N1110" s="105"/>
      <c r="O1110" s="105"/>
      <c r="P1110" s="105"/>
      <c r="Q1110" s="105"/>
      <c r="R1110" s="105"/>
      <c r="S1110" s="105"/>
      <c r="T1110" s="106"/>
      <c r="U1110" s="130"/>
      <c r="V1110" s="1"/>
      <c r="W1110" s="68">
        <f t="shared" si="273"/>
        <v>0</v>
      </c>
      <c r="X1110" s="68">
        <f t="shared" si="274"/>
        <v>0</v>
      </c>
      <c r="Y1110" s="68">
        <f t="shared" si="272"/>
        <v>0</v>
      </c>
      <c r="Z1110" s="68">
        <f t="shared" si="275"/>
        <v>0</v>
      </c>
      <c r="AA1110" s="68"/>
      <c r="AB1110" s="68">
        <v>0</v>
      </c>
      <c r="AC1110" s="69">
        <f t="shared" si="276"/>
        <v>0</v>
      </c>
      <c r="AD1110" s="70">
        <v>0</v>
      </c>
      <c r="AE1110" s="63"/>
      <c r="AF1110" s="72"/>
      <c r="AG1110" s="63"/>
      <c r="AH1110" s="23"/>
      <c r="AI1110" s="60"/>
      <c r="AJ1110" s="124"/>
      <c r="AK1110" s="121"/>
      <c r="AL1110" s="107"/>
      <c r="AM1110" s="108"/>
      <c r="AN1110" s="109"/>
      <c r="AO1110" s="108"/>
      <c r="AP1110" s="108"/>
      <c r="AQ1110" s="108"/>
      <c r="AR1110" s="108"/>
      <c r="AS1110" s="108"/>
      <c r="AT1110" s="108"/>
      <c r="AU1110" s="108"/>
      <c r="AV1110" s="108"/>
      <c r="AW1110" s="108"/>
      <c r="AX1110" s="108"/>
      <c r="AY1110" s="108"/>
      <c r="AZ1110" s="108"/>
      <c r="BA1110" s="108"/>
      <c r="BB1110" s="108"/>
      <c r="BC1110" s="108"/>
      <c r="BD1110" s="108"/>
      <c r="BE1110" s="108"/>
      <c r="BF1110" s="108"/>
      <c r="BG1110" s="108"/>
      <c r="BH1110" s="108"/>
      <c r="BI1110" s="108"/>
      <c r="BJ1110" s="108"/>
      <c r="BK1110" s="108"/>
      <c r="BL1110" s="108"/>
      <c r="BM1110" s="108"/>
      <c r="BN1110" s="108"/>
      <c r="BO1110" s="108"/>
      <c r="BP1110" s="108"/>
      <c r="BQ1110" s="108"/>
      <c r="BR1110" s="108"/>
      <c r="BS1110" s="108"/>
      <c r="BT1110" s="108"/>
      <c r="BU1110" s="108"/>
      <c r="BV1110" s="108"/>
      <c r="BW1110" s="108"/>
      <c r="BX1110" s="108"/>
      <c r="BY1110" s="108"/>
      <c r="BZ1110" s="108"/>
      <c r="CA1110" s="108"/>
      <c r="CB1110" s="108"/>
      <c r="CC1110" s="108"/>
      <c r="CD1110" s="108"/>
      <c r="CE1110" s="108"/>
      <c r="CF1110" s="108"/>
      <c r="CG1110" s="108"/>
      <c r="CH1110" s="108"/>
      <c r="CI1110" s="108"/>
      <c r="CJ1110" s="108"/>
      <c r="CK1110" s="108"/>
      <c r="CL1110" s="108"/>
      <c r="CM1110" s="108"/>
      <c r="CN1110" s="110"/>
      <c r="CO1110" s="111"/>
      <c r="CP1110" s="110"/>
      <c r="CQ1110" s="111"/>
      <c r="CR1110" s="110"/>
      <c r="CS1110" s="111"/>
      <c r="CT1110" s="112">
        <f t="shared" si="277"/>
        <v>0</v>
      </c>
      <c r="CU1110" s="113"/>
      <c r="CV1110" s="114"/>
      <c r="CW1110" s="115"/>
      <c r="CX1110" s="116"/>
      <c r="CY1110" s="117"/>
      <c r="CZ1110" s="116"/>
      <c r="DA1110" s="113"/>
      <c r="DB1110" s="114"/>
      <c r="DC1110" s="64"/>
      <c r="DD1110" s="118"/>
    </row>
    <row r="1111" spans="1:108" s="119" customFormat="1" ht="22.5" outlineLevel="2">
      <c r="A1111" s="178">
        <v>40489</v>
      </c>
      <c r="B1111" s="164" t="s">
        <v>1666</v>
      </c>
      <c r="C1111" s="164" t="s">
        <v>489</v>
      </c>
      <c r="D1111" s="165" t="s">
        <v>1182</v>
      </c>
      <c r="E1111" s="163"/>
      <c r="F1111" s="105"/>
      <c r="G1111" s="105"/>
      <c r="H1111" s="105"/>
      <c r="I1111" s="105"/>
      <c r="J1111" s="105"/>
      <c r="K1111" s="105"/>
      <c r="L1111" s="105"/>
      <c r="M1111" s="105"/>
      <c r="N1111" s="105"/>
      <c r="O1111" s="105">
        <v>1</v>
      </c>
      <c r="P1111" s="105">
        <v>1</v>
      </c>
      <c r="Q1111" s="105"/>
      <c r="R1111" s="105"/>
      <c r="S1111" s="105"/>
      <c r="T1111" s="106"/>
      <c r="U1111" s="130"/>
      <c r="V1111" s="1"/>
      <c r="W1111" s="68">
        <f t="shared" si="273"/>
        <v>0</v>
      </c>
      <c r="X1111" s="68">
        <f t="shared" si="274"/>
        <v>0</v>
      </c>
      <c r="Y1111" s="68">
        <f t="shared" si="272"/>
        <v>0</v>
      </c>
      <c r="Z1111" s="68">
        <f t="shared" si="275"/>
        <v>0</v>
      </c>
      <c r="AA1111" s="68"/>
      <c r="AB1111" s="68">
        <v>0</v>
      </c>
      <c r="AC1111" s="69">
        <f t="shared" si="276"/>
        <v>0</v>
      </c>
      <c r="AD1111" s="70">
        <v>0</v>
      </c>
      <c r="AE1111" s="63">
        <v>40491</v>
      </c>
      <c r="AF1111" s="72"/>
      <c r="AG1111" s="63" t="s">
        <v>938</v>
      </c>
      <c r="AH1111" s="23" t="s">
        <v>939</v>
      </c>
      <c r="AI1111" s="60"/>
      <c r="AJ1111" s="124" t="s">
        <v>1608</v>
      </c>
      <c r="AK1111" s="121" t="s">
        <v>1612</v>
      </c>
      <c r="AL1111" s="107"/>
      <c r="AM1111" s="108"/>
      <c r="AN1111" s="109"/>
      <c r="AO1111" s="108"/>
      <c r="AP1111" s="108"/>
      <c r="AQ1111" s="108"/>
      <c r="AR1111" s="108"/>
      <c r="AS1111" s="108"/>
      <c r="AT1111" s="108"/>
      <c r="AU1111" s="108"/>
      <c r="AV1111" s="108"/>
      <c r="AW1111" s="108"/>
      <c r="AX1111" s="108"/>
      <c r="AY1111" s="108"/>
      <c r="AZ1111" s="108"/>
      <c r="BA1111" s="108"/>
      <c r="BB1111" s="108"/>
      <c r="BC1111" s="108"/>
      <c r="BD1111" s="108"/>
      <c r="BE1111" s="108"/>
      <c r="BF1111" s="108"/>
      <c r="BG1111" s="108"/>
      <c r="BH1111" s="108"/>
      <c r="BI1111" s="108"/>
      <c r="BJ1111" s="108"/>
      <c r="BK1111" s="108"/>
      <c r="BL1111" s="108"/>
      <c r="BM1111" s="108"/>
      <c r="BN1111" s="108"/>
      <c r="BO1111" s="108"/>
      <c r="BP1111" s="108"/>
      <c r="BQ1111" s="108"/>
      <c r="BR1111" s="108"/>
      <c r="BS1111" s="108"/>
      <c r="BT1111" s="108"/>
      <c r="BU1111" s="108"/>
      <c r="BV1111" s="108"/>
      <c r="BW1111" s="108"/>
      <c r="BX1111" s="108"/>
      <c r="BY1111" s="108"/>
      <c r="BZ1111" s="108"/>
      <c r="CA1111" s="108"/>
      <c r="CB1111" s="108"/>
      <c r="CC1111" s="108"/>
      <c r="CD1111" s="108"/>
      <c r="CE1111" s="108"/>
      <c r="CF1111" s="108"/>
      <c r="CG1111" s="108"/>
      <c r="CH1111" s="108"/>
      <c r="CI1111" s="108"/>
      <c r="CJ1111" s="108"/>
      <c r="CK1111" s="108"/>
      <c r="CL1111" s="108"/>
      <c r="CM1111" s="108"/>
      <c r="CN1111" s="110"/>
      <c r="CO1111" s="111"/>
      <c r="CP1111" s="110"/>
      <c r="CQ1111" s="111"/>
      <c r="CR1111" s="110"/>
      <c r="CS1111" s="111"/>
      <c r="CT1111" s="112">
        <f t="shared" si="277"/>
        <v>0</v>
      </c>
      <c r="CU1111" s="113"/>
      <c r="CV1111" s="114"/>
      <c r="CW1111" s="115"/>
      <c r="CX1111" s="116"/>
      <c r="CY1111" s="117"/>
      <c r="CZ1111" s="116"/>
      <c r="DA1111" s="113"/>
      <c r="DB1111" s="114"/>
      <c r="DC1111" s="64"/>
      <c r="DD1111" s="118"/>
    </row>
    <row r="1112" spans="1:108" s="119" customFormat="1" ht="24" outlineLevel="2">
      <c r="A1112" s="178">
        <v>40489</v>
      </c>
      <c r="B1112" s="164" t="s">
        <v>1666</v>
      </c>
      <c r="C1112" s="164" t="s">
        <v>487</v>
      </c>
      <c r="D1112" s="165" t="s">
        <v>1182</v>
      </c>
      <c r="E1112" s="163"/>
      <c r="F1112" s="105"/>
      <c r="G1112" s="105"/>
      <c r="H1112" s="105">
        <v>20</v>
      </c>
      <c r="I1112" s="105">
        <v>4</v>
      </c>
      <c r="J1112" s="105"/>
      <c r="K1112" s="105"/>
      <c r="L1112" s="105"/>
      <c r="M1112" s="105"/>
      <c r="N1112" s="105"/>
      <c r="O1112" s="105">
        <v>1</v>
      </c>
      <c r="P1112" s="105">
        <v>1</v>
      </c>
      <c r="Q1112" s="105"/>
      <c r="R1112" s="105"/>
      <c r="S1112" s="105"/>
      <c r="T1112" s="106"/>
      <c r="U1112" s="130"/>
      <c r="V1112" s="1"/>
      <c r="W1112" s="68">
        <f t="shared" si="273"/>
        <v>0</v>
      </c>
      <c r="X1112" s="68">
        <f t="shared" si="274"/>
        <v>0</v>
      </c>
      <c r="Y1112" s="68">
        <f t="shared" si="272"/>
        <v>0</v>
      </c>
      <c r="Z1112" s="68">
        <f t="shared" si="275"/>
        <v>0</v>
      </c>
      <c r="AA1112" s="68"/>
      <c r="AB1112" s="68">
        <v>0</v>
      </c>
      <c r="AC1112" s="69">
        <f t="shared" si="276"/>
        <v>0</v>
      </c>
      <c r="AD1112" s="70">
        <v>0</v>
      </c>
      <c r="AE1112" s="63">
        <v>40491</v>
      </c>
      <c r="AF1112" s="72"/>
      <c r="AG1112" s="63" t="s">
        <v>938</v>
      </c>
      <c r="AH1112" s="23" t="s">
        <v>939</v>
      </c>
      <c r="AI1112" s="60"/>
      <c r="AJ1112" s="124" t="s">
        <v>1608</v>
      </c>
      <c r="AK1112" s="121" t="s">
        <v>488</v>
      </c>
      <c r="AL1112" s="107"/>
      <c r="AM1112" s="108"/>
      <c r="AN1112" s="109"/>
      <c r="AO1112" s="108"/>
      <c r="AP1112" s="108"/>
      <c r="AQ1112" s="108"/>
      <c r="AR1112" s="108"/>
      <c r="AS1112" s="108"/>
      <c r="AT1112" s="108"/>
      <c r="AU1112" s="108"/>
      <c r="AV1112" s="108"/>
      <c r="AW1112" s="108"/>
      <c r="AX1112" s="108"/>
      <c r="AY1112" s="108"/>
      <c r="AZ1112" s="108"/>
      <c r="BA1112" s="108"/>
      <c r="BB1112" s="108"/>
      <c r="BC1112" s="108"/>
      <c r="BD1112" s="108"/>
      <c r="BE1112" s="108"/>
      <c r="BF1112" s="108"/>
      <c r="BG1112" s="108"/>
      <c r="BH1112" s="108"/>
      <c r="BI1112" s="108"/>
      <c r="BJ1112" s="108"/>
      <c r="BK1112" s="108"/>
      <c r="BL1112" s="108"/>
      <c r="BM1112" s="108"/>
      <c r="BN1112" s="108"/>
      <c r="BO1112" s="108"/>
      <c r="BP1112" s="108"/>
      <c r="BQ1112" s="108"/>
      <c r="BR1112" s="108"/>
      <c r="BS1112" s="108"/>
      <c r="BT1112" s="108"/>
      <c r="BU1112" s="108"/>
      <c r="BV1112" s="108"/>
      <c r="BW1112" s="108"/>
      <c r="BX1112" s="108"/>
      <c r="BY1112" s="108"/>
      <c r="BZ1112" s="108"/>
      <c r="CA1112" s="108"/>
      <c r="CB1112" s="108"/>
      <c r="CC1112" s="108"/>
      <c r="CD1112" s="108"/>
      <c r="CE1112" s="108"/>
      <c r="CF1112" s="108"/>
      <c r="CG1112" s="108"/>
      <c r="CH1112" s="108"/>
      <c r="CI1112" s="108"/>
      <c r="CJ1112" s="108"/>
      <c r="CK1112" s="108"/>
      <c r="CL1112" s="108"/>
      <c r="CM1112" s="108"/>
      <c r="CN1112" s="110"/>
      <c r="CO1112" s="111"/>
      <c r="CP1112" s="110"/>
      <c r="CQ1112" s="111"/>
      <c r="CR1112" s="110"/>
      <c r="CS1112" s="111"/>
      <c r="CT1112" s="112">
        <f t="shared" si="277"/>
        <v>0</v>
      </c>
      <c r="CU1112" s="113"/>
      <c r="CV1112" s="114"/>
      <c r="CW1112" s="115"/>
      <c r="CX1112" s="116"/>
      <c r="CY1112" s="117"/>
      <c r="CZ1112" s="116"/>
      <c r="DA1112" s="113"/>
      <c r="DB1112" s="114"/>
      <c r="DC1112" s="64"/>
      <c r="DD1112" s="118"/>
    </row>
    <row r="1113" spans="1:108" s="119" customFormat="1" ht="22.5" outlineLevel="2">
      <c r="A1113" s="178">
        <v>40490</v>
      </c>
      <c r="B1113" s="164" t="s">
        <v>1666</v>
      </c>
      <c r="C1113" s="164" t="s">
        <v>1387</v>
      </c>
      <c r="D1113" s="165" t="s">
        <v>1182</v>
      </c>
      <c r="E1113" s="163">
        <v>2</v>
      </c>
      <c r="F1113" s="105">
        <v>8</v>
      </c>
      <c r="G1113" s="105"/>
      <c r="H1113" s="105">
        <f>1250+5095</f>
        <v>6345</v>
      </c>
      <c r="I1113" s="105">
        <v>1269</v>
      </c>
      <c r="J1113" s="105">
        <v>653</v>
      </c>
      <c r="K1113" s="105">
        <v>616</v>
      </c>
      <c r="L1113" s="105"/>
      <c r="M1113" s="105"/>
      <c r="N1113" s="105"/>
      <c r="O1113" s="105"/>
      <c r="P1113" s="105"/>
      <c r="Q1113" s="105"/>
      <c r="R1113" s="105"/>
      <c r="S1113" s="105"/>
      <c r="T1113" s="106"/>
      <c r="U1113" s="130" t="s">
        <v>594</v>
      </c>
      <c r="V1113" s="1"/>
      <c r="W1113" s="68">
        <f t="shared" si="273"/>
        <v>0</v>
      </c>
      <c r="X1113" s="68">
        <f t="shared" si="274"/>
        <v>0</v>
      </c>
      <c r="Y1113" s="68">
        <f t="shared" si="272"/>
        <v>0</v>
      </c>
      <c r="Z1113" s="68">
        <f t="shared" si="275"/>
        <v>0</v>
      </c>
      <c r="AA1113" s="68"/>
      <c r="AB1113" s="68">
        <v>0</v>
      </c>
      <c r="AC1113" s="69">
        <f t="shared" si="276"/>
        <v>0</v>
      </c>
      <c r="AD1113" s="70">
        <v>0</v>
      </c>
      <c r="AE1113" s="63">
        <v>40491</v>
      </c>
      <c r="AF1113" s="72"/>
      <c r="AG1113" s="63" t="s">
        <v>938</v>
      </c>
      <c r="AH1113" s="23" t="s">
        <v>939</v>
      </c>
      <c r="AI1113" s="60"/>
      <c r="AJ1113" s="124" t="s">
        <v>1608</v>
      </c>
      <c r="AK1113" s="121" t="s">
        <v>1612</v>
      </c>
      <c r="AL1113" s="107"/>
      <c r="AM1113" s="108"/>
      <c r="AN1113" s="109"/>
      <c r="AO1113" s="108"/>
      <c r="AP1113" s="108"/>
      <c r="AQ1113" s="108"/>
      <c r="AR1113" s="108"/>
      <c r="AS1113" s="108"/>
      <c r="AT1113" s="108"/>
      <c r="AU1113" s="108"/>
      <c r="AV1113" s="108"/>
      <c r="AW1113" s="108"/>
      <c r="AX1113" s="108"/>
      <c r="AY1113" s="108"/>
      <c r="AZ1113" s="108"/>
      <c r="BA1113" s="108"/>
      <c r="BB1113" s="108"/>
      <c r="BC1113" s="108"/>
      <c r="BD1113" s="108"/>
      <c r="BE1113" s="108"/>
      <c r="BF1113" s="108"/>
      <c r="BG1113" s="108"/>
      <c r="BH1113" s="108"/>
      <c r="BI1113" s="108"/>
      <c r="BJ1113" s="108"/>
      <c r="BK1113" s="108"/>
      <c r="BL1113" s="108"/>
      <c r="BM1113" s="108"/>
      <c r="BN1113" s="108"/>
      <c r="BO1113" s="108"/>
      <c r="BP1113" s="108"/>
      <c r="BQ1113" s="108"/>
      <c r="BR1113" s="108"/>
      <c r="BS1113" s="108"/>
      <c r="BT1113" s="108"/>
      <c r="BU1113" s="108"/>
      <c r="BV1113" s="108"/>
      <c r="BW1113" s="108"/>
      <c r="BX1113" s="108"/>
      <c r="BY1113" s="108"/>
      <c r="BZ1113" s="108"/>
      <c r="CA1113" s="108"/>
      <c r="CB1113" s="108"/>
      <c r="CC1113" s="108"/>
      <c r="CD1113" s="108"/>
      <c r="CE1113" s="108"/>
      <c r="CF1113" s="108"/>
      <c r="CG1113" s="108"/>
      <c r="CH1113" s="108"/>
      <c r="CI1113" s="108"/>
      <c r="CJ1113" s="108"/>
      <c r="CK1113" s="108"/>
      <c r="CL1113" s="108"/>
      <c r="CM1113" s="108"/>
      <c r="CN1113" s="110"/>
      <c r="CO1113" s="111"/>
      <c r="CP1113" s="110"/>
      <c r="CQ1113" s="111"/>
      <c r="CR1113" s="110"/>
      <c r="CS1113" s="111"/>
      <c r="CT1113" s="112">
        <f t="shared" si="277"/>
        <v>0</v>
      </c>
      <c r="CU1113" s="113"/>
      <c r="CV1113" s="114"/>
      <c r="CW1113" s="115"/>
      <c r="CX1113" s="116"/>
      <c r="CY1113" s="117"/>
      <c r="CZ1113" s="116"/>
      <c r="DA1113" s="113"/>
      <c r="DB1113" s="114"/>
      <c r="DC1113" s="64"/>
      <c r="DD1113" s="118"/>
    </row>
    <row r="1114" spans="1:108" s="119" customFormat="1" ht="96" outlineLevel="2">
      <c r="A1114" s="178">
        <v>40490</v>
      </c>
      <c r="B1114" s="164" t="s">
        <v>1666</v>
      </c>
      <c r="C1114" s="164" t="s">
        <v>1738</v>
      </c>
      <c r="D1114" s="165" t="s">
        <v>1182</v>
      </c>
      <c r="E1114" s="163"/>
      <c r="F1114" s="105"/>
      <c r="G1114" s="105"/>
      <c r="H1114" s="105">
        <v>550</v>
      </c>
      <c r="I1114" s="105">
        <f>15+95</f>
        <v>110</v>
      </c>
      <c r="J1114" s="105">
        <v>15</v>
      </c>
      <c r="K1114" s="105">
        <f>25+70</f>
        <v>95</v>
      </c>
      <c r="L1114" s="105"/>
      <c r="M1114" s="105"/>
      <c r="N1114" s="105"/>
      <c r="O1114" s="105">
        <v>1</v>
      </c>
      <c r="P1114" s="105">
        <v>1</v>
      </c>
      <c r="Q1114" s="105"/>
      <c r="R1114" s="105"/>
      <c r="S1114" s="105"/>
      <c r="T1114" s="106"/>
      <c r="U1114" s="130"/>
      <c r="V1114" s="1">
        <v>40462</v>
      </c>
      <c r="W1114" s="68">
        <f t="shared" si="273"/>
        <v>0</v>
      </c>
      <c r="X1114" s="68">
        <f t="shared" si="274"/>
        <v>0</v>
      </c>
      <c r="Y1114" s="68">
        <f t="shared" si="272"/>
        <v>0</v>
      </c>
      <c r="Z1114" s="68">
        <f t="shared" si="275"/>
        <v>0</v>
      </c>
      <c r="AA1114" s="68"/>
      <c r="AB1114" s="68">
        <v>342213000</v>
      </c>
      <c r="AC1114" s="69">
        <f t="shared" si="276"/>
        <v>342213000</v>
      </c>
      <c r="AD1114" s="70">
        <v>0</v>
      </c>
      <c r="AE1114" s="63">
        <v>40490</v>
      </c>
      <c r="AF1114" s="72">
        <v>63242</v>
      </c>
      <c r="AG1114" s="63" t="s">
        <v>954</v>
      </c>
      <c r="AH1114" s="23" t="s">
        <v>955</v>
      </c>
      <c r="AI1114" s="60">
        <v>42259</v>
      </c>
      <c r="AJ1114" s="124" t="s">
        <v>556</v>
      </c>
      <c r="AK1114" s="121" t="s">
        <v>557</v>
      </c>
      <c r="AL1114" s="107"/>
      <c r="AM1114" s="108"/>
      <c r="AN1114" s="109"/>
      <c r="AO1114" s="108"/>
      <c r="AP1114" s="108"/>
      <c r="AQ1114" s="108"/>
      <c r="AR1114" s="108"/>
      <c r="AS1114" s="108"/>
      <c r="AT1114" s="108"/>
      <c r="AU1114" s="108"/>
      <c r="AV1114" s="108"/>
      <c r="AW1114" s="108"/>
      <c r="AX1114" s="108"/>
      <c r="AY1114" s="108"/>
      <c r="AZ1114" s="108"/>
      <c r="BA1114" s="108"/>
      <c r="BB1114" s="108"/>
      <c r="BC1114" s="108"/>
      <c r="BD1114" s="108"/>
      <c r="BE1114" s="108"/>
      <c r="BF1114" s="108"/>
      <c r="BG1114" s="108"/>
      <c r="BH1114" s="108"/>
      <c r="BI1114" s="108"/>
      <c r="BJ1114" s="108"/>
      <c r="BK1114" s="108"/>
      <c r="BL1114" s="108"/>
      <c r="BM1114" s="108"/>
      <c r="BN1114" s="108"/>
      <c r="BO1114" s="108"/>
      <c r="BP1114" s="108"/>
      <c r="BQ1114" s="108"/>
      <c r="BR1114" s="108"/>
      <c r="BS1114" s="108"/>
      <c r="BT1114" s="108"/>
      <c r="BU1114" s="108"/>
      <c r="BV1114" s="108"/>
      <c r="BW1114" s="108"/>
      <c r="BX1114" s="108"/>
      <c r="BY1114" s="108"/>
      <c r="BZ1114" s="108"/>
      <c r="CA1114" s="108"/>
      <c r="CB1114" s="108"/>
      <c r="CC1114" s="108"/>
      <c r="CD1114" s="108"/>
      <c r="CE1114" s="108"/>
      <c r="CF1114" s="108"/>
      <c r="CG1114" s="108"/>
      <c r="CH1114" s="108"/>
      <c r="CI1114" s="108"/>
      <c r="CJ1114" s="108"/>
      <c r="CK1114" s="108"/>
      <c r="CL1114" s="108"/>
      <c r="CM1114" s="108"/>
      <c r="CN1114" s="110"/>
      <c r="CO1114" s="111"/>
      <c r="CP1114" s="110"/>
      <c r="CQ1114" s="111"/>
      <c r="CR1114" s="110"/>
      <c r="CS1114" s="111"/>
      <c r="CT1114" s="112">
        <f t="shared" si="277"/>
        <v>0</v>
      </c>
      <c r="CU1114" s="113"/>
      <c r="CV1114" s="114"/>
      <c r="CW1114" s="115"/>
      <c r="CX1114" s="116"/>
      <c r="CY1114" s="117"/>
      <c r="CZ1114" s="116"/>
      <c r="DA1114" s="113"/>
      <c r="DB1114" s="114"/>
      <c r="DC1114" s="64"/>
      <c r="DD1114" s="118"/>
    </row>
    <row r="1115" spans="1:108" s="119" customFormat="1" ht="24" outlineLevel="2">
      <c r="A1115" s="178">
        <v>40490</v>
      </c>
      <c r="B1115" s="164" t="s">
        <v>1666</v>
      </c>
      <c r="C1115" s="164" t="s">
        <v>1083</v>
      </c>
      <c r="D1115" s="165" t="s">
        <v>1182</v>
      </c>
      <c r="E1115" s="163"/>
      <c r="F1115" s="105"/>
      <c r="G1115" s="105"/>
      <c r="H1115" s="105">
        <v>5</v>
      </c>
      <c r="I1115" s="105">
        <v>1</v>
      </c>
      <c r="J1115" s="105">
        <v>1</v>
      </c>
      <c r="K1115" s="105"/>
      <c r="L1115" s="105"/>
      <c r="M1115" s="105"/>
      <c r="N1115" s="105"/>
      <c r="O1115" s="105"/>
      <c r="P1115" s="105"/>
      <c r="Q1115" s="105"/>
      <c r="R1115" s="105"/>
      <c r="S1115" s="105"/>
      <c r="T1115" s="106"/>
      <c r="U1115" s="130"/>
      <c r="V1115" s="1"/>
      <c r="W1115" s="68">
        <f t="shared" si="273"/>
        <v>0</v>
      </c>
      <c r="X1115" s="68">
        <f t="shared" si="274"/>
        <v>0</v>
      </c>
      <c r="Y1115" s="68">
        <f t="shared" si="272"/>
        <v>0</v>
      </c>
      <c r="Z1115" s="68">
        <f t="shared" si="275"/>
        <v>0</v>
      </c>
      <c r="AA1115" s="68"/>
      <c r="AB1115" s="68">
        <v>0</v>
      </c>
      <c r="AC1115" s="69">
        <f t="shared" si="276"/>
        <v>0</v>
      </c>
      <c r="AD1115" s="70">
        <v>0</v>
      </c>
      <c r="AE1115" s="63">
        <v>40492</v>
      </c>
      <c r="AF1115" s="72"/>
      <c r="AG1115" s="63" t="s">
        <v>938</v>
      </c>
      <c r="AH1115" s="23" t="s">
        <v>939</v>
      </c>
      <c r="AI1115" s="60"/>
      <c r="AJ1115" s="124" t="s">
        <v>1608</v>
      </c>
      <c r="AK1115" s="121" t="s">
        <v>505</v>
      </c>
      <c r="AL1115" s="107"/>
      <c r="AM1115" s="108"/>
      <c r="AN1115" s="109"/>
      <c r="AO1115" s="108"/>
      <c r="AP1115" s="108"/>
      <c r="AQ1115" s="108"/>
      <c r="AR1115" s="108"/>
      <c r="AS1115" s="108"/>
      <c r="AT1115" s="108"/>
      <c r="AU1115" s="108"/>
      <c r="AV1115" s="108"/>
      <c r="AW1115" s="108"/>
      <c r="AX1115" s="108"/>
      <c r="AY1115" s="108"/>
      <c r="AZ1115" s="108"/>
      <c r="BA1115" s="108"/>
      <c r="BB1115" s="108"/>
      <c r="BC1115" s="108"/>
      <c r="BD1115" s="108"/>
      <c r="BE1115" s="108"/>
      <c r="BF1115" s="108"/>
      <c r="BG1115" s="108"/>
      <c r="BH1115" s="108"/>
      <c r="BI1115" s="108"/>
      <c r="BJ1115" s="108"/>
      <c r="BK1115" s="108"/>
      <c r="BL1115" s="108"/>
      <c r="BM1115" s="108"/>
      <c r="BN1115" s="108"/>
      <c r="BO1115" s="108"/>
      <c r="BP1115" s="108"/>
      <c r="BQ1115" s="108"/>
      <c r="BR1115" s="108"/>
      <c r="BS1115" s="108"/>
      <c r="BT1115" s="108"/>
      <c r="BU1115" s="108"/>
      <c r="BV1115" s="108"/>
      <c r="BW1115" s="108"/>
      <c r="BX1115" s="108"/>
      <c r="BY1115" s="108"/>
      <c r="BZ1115" s="108"/>
      <c r="CA1115" s="108"/>
      <c r="CB1115" s="108"/>
      <c r="CC1115" s="108"/>
      <c r="CD1115" s="108"/>
      <c r="CE1115" s="108"/>
      <c r="CF1115" s="108"/>
      <c r="CG1115" s="108"/>
      <c r="CH1115" s="108"/>
      <c r="CI1115" s="108"/>
      <c r="CJ1115" s="108"/>
      <c r="CK1115" s="108"/>
      <c r="CL1115" s="108"/>
      <c r="CM1115" s="108"/>
      <c r="CN1115" s="110"/>
      <c r="CO1115" s="111"/>
      <c r="CP1115" s="110"/>
      <c r="CQ1115" s="111"/>
      <c r="CR1115" s="110"/>
      <c r="CS1115" s="111"/>
      <c r="CT1115" s="112">
        <f t="shared" si="277"/>
        <v>0</v>
      </c>
      <c r="CU1115" s="113"/>
      <c r="CV1115" s="114"/>
      <c r="CW1115" s="115"/>
      <c r="CX1115" s="116"/>
      <c r="CY1115" s="117"/>
      <c r="CZ1115" s="116"/>
      <c r="DA1115" s="113"/>
      <c r="DB1115" s="114"/>
      <c r="DC1115" s="64"/>
      <c r="DD1115" s="118"/>
    </row>
    <row r="1116" spans="1:108" s="119" customFormat="1" ht="48" outlineLevel="2">
      <c r="A1116" s="178">
        <v>40491</v>
      </c>
      <c r="B1116" s="164" t="s">
        <v>1666</v>
      </c>
      <c r="C1116" s="164" t="s">
        <v>1387</v>
      </c>
      <c r="D1116" s="166" t="s">
        <v>435</v>
      </c>
      <c r="E1116" s="163"/>
      <c r="F1116" s="105">
        <v>5</v>
      </c>
      <c r="G1116" s="105"/>
      <c r="H1116" s="105"/>
      <c r="I1116" s="105"/>
      <c r="J1116" s="105"/>
      <c r="K1116" s="105"/>
      <c r="L1116" s="105"/>
      <c r="M1116" s="105"/>
      <c r="N1116" s="105"/>
      <c r="O1116" s="105"/>
      <c r="P1116" s="105"/>
      <c r="Q1116" s="105"/>
      <c r="R1116" s="105">
        <v>1</v>
      </c>
      <c r="S1116" s="105"/>
      <c r="T1116" s="106"/>
      <c r="U1116" s="130"/>
      <c r="V1116" s="1"/>
      <c r="W1116" s="68">
        <f t="shared" si="273"/>
        <v>0</v>
      </c>
      <c r="X1116" s="68">
        <f t="shared" si="274"/>
        <v>0</v>
      </c>
      <c r="Y1116" s="68">
        <f t="shared" si="272"/>
        <v>0</v>
      </c>
      <c r="Z1116" s="68">
        <f t="shared" si="275"/>
        <v>0</v>
      </c>
      <c r="AA1116" s="68"/>
      <c r="AB1116" s="68">
        <v>0</v>
      </c>
      <c r="AC1116" s="69">
        <f t="shared" si="276"/>
        <v>0</v>
      </c>
      <c r="AD1116" s="70">
        <v>0</v>
      </c>
      <c r="AE1116" s="63">
        <v>40492</v>
      </c>
      <c r="AF1116" s="72"/>
      <c r="AG1116" s="63" t="s">
        <v>938</v>
      </c>
      <c r="AH1116" s="23" t="s">
        <v>939</v>
      </c>
      <c r="AI1116" s="60"/>
      <c r="AJ1116" s="124" t="s">
        <v>1608</v>
      </c>
      <c r="AK1116" s="121" t="s">
        <v>514</v>
      </c>
      <c r="AL1116" s="107"/>
      <c r="AM1116" s="108"/>
      <c r="AN1116" s="109"/>
      <c r="AO1116" s="108"/>
      <c r="AP1116" s="108"/>
      <c r="AQ1116" s="108"/>
      <c r="AR1116" s="108"/>
      <c r="AS1116" s="108"/>
      <c r="AT1116" s="108"/>
      <c r="AU1116" s="108"/>
      <c r="AV1116" s="108"/>
      <c r="AW1116" s="108"/>
      <c r="AX1116" s="108"/>
      <c r="AY1116" s="108"/>
      <c r="AZ1116" s="108"/>
      <c r="BA1116" s="108"/>
      <c r="BB1116" s="108"/>
      <c r="BC1116" s="108"/>
      <c r="BD1116" s="108"/>
      <c r="BE1116" s="108"/>
      <c r="BF1116" s="108"/>
      <c r="BG1116" s="108"/>
      <c r="BH1116" s="108"/>
      <c r="BI1116" s="108"/>
      <c r="BJ1116" s="108"/>
      <c r="BK1116" s="108"/>
      <c r="BL1116" s="108"/>
      <c r="BM1116" s="108"/>
      <c r="BN1116" s="108"/>
      <c r="BO1116" s="108"/>
      <c r="BP1116" s="108"/>
      <c r="BQ1116" s="108"/>
      <c r="BR1116" s="108"/>
      <c r="BS1116" s="108"/>
      <c r="BT1116" s="108"/>
      <c r="BU1116" s="108"/>
      <c r="BV1116" s="108"/>
      <c r="BW1116" s="108"/>
      <c r="BX1116" s="108"/>
      <c r="BY1116" s="108"/>
      <c r="BZ1116" s="108"/>
      <c r="CA1116" s="108"/>
      <c r="CB1116" s="108"/>
      <c r="CC1116" s="108"/>
      <c r="CD1116" s="108"/>
      <c r="CE1116" s="108"/>
      <c r="CF1116" s="108"/>
      <c r="CG1116" s="108"/>
      <c r="CH1116" s="108"/>
      <c r="CI1116" s="108"/>
      <c r="CJ1116" s="108"/>
      <c r="CK1116" s="108"/>
      <c r="CL1116" s="108"/>
      <c r="CM1116" s="108"/>
      <c r="CN1116" s="110"/>
      <c r="CO1116" s="111"/>
      <c r="CP1116" s="110"/>
      <c r="CQ1116" s="111"/>
      <c r="CR1116" s="110"/>
      <c r="CS1116" s="111"/>
      <c r="CT1116" s="112">
        <f t="shared" si="277"/>
        <v>0</v>
      </c>
      <c r="CU1116" s="113"/>
      <c r="CV1116" s="114"/>
      <c r="CW1116" s="115"/>
      <c r="CX1116" s="116"/>
      <c r="CY1116" s="117"/>
      <c r="CZ1116" s="116"/>
      <c r="DA1116" s="113"/>
      <c r="DB1116" s="114"/>
      <c r="DC1116" s="64"/>
      <c r="DD1116" s="118"/>
    </row>
    <row r="1117" spans="1:108" s="119" customFormat="1" ht="24" outlineLevel="2">
      <c r="A1117" s="178">
        <v>40492</v>
      </c>
      <c r="B1117" s="164" t="s">
        <v>1666</v>
      </c>
      <c r="C1117" s="164" t="s">
        <v>600</v>
      </c>
      <c r="D1117" s="165" t="s">
        <v>1182</v>
      </c>
      <c r="E1117" s="163"/>
      <c r="F1117" s="105"/>
      <c r="G1117" s="105"/>
      <c r="H1117" s="105"/>
      <c r="I1117" s="105"/>
      <c r="J1117" s="105"/>
      <c r="K1117" s="105"/>
      <c r="L1117" s="105">
        <v>1</v>
      </c>
      <c r="M1117" s="105"/>
      <c r="N1117" s="105"/>
      <c r="O1117" s="105">
        <v>1</v>
      </c>
      <c r="P1117" s="105">
        <v>1</v>
      </c>
      <c r="Q1117" s="105"/>
      <c r="R1117" s="105"/>
      <c r="S1117" s="105"/>
      <c r="T1117" s="106"/>
      <c r="U1117" s="130"/>
      <c r="V1117" s="1"/>
      <c r="W1117" s="68">
        <f t="shared" si="273"/>
        <v>0</v>
      </c>
      <c r="X1117" s="68">
        <f t="shared" si="274"/>
        <v>0</v>
      </c>
      <c r="Y1117" s="68">
        <f t="shared" si="272"/>
        <v>0</v>
      </c>
      <c r="Z1117" s="68">
        <f t="shared" si="275"/>
        <v>0</v>
      </c>
      <c r="AA1117" s="68"/>
      <c r="AB1117" s="68">
        <v>0</v>
      </c>
      <c r="AC1117" s="69">
        <f t="shared" si="276"/>
        <v>0</v>
      </c>
      <c r="AD1117" s="70">
        <v>0</v>
      </c>
      <c r="AE1117" s="63">
        <v>40494</v>
      </c>
      <c r="AF1117" s="72"/>
      <c r="AG1117" s="63" t="s">
        <v>938</v>
      </c>
      <c r="AH1117" s="23" t="s">
        <v>939</v>
      </c>
      <c r="AI1117" s="60"/>
      <c r="AJ1117" s="124" t="s">
        <v>1608</v>
      </c>
      <c r="AK1117" s="121" t="s">
        <v>601</v>
      </c>
      <c r="AL1117" s="107"/>
      <c r="AM1117" s="108"/>
      <c r="AN1117" s="109"/>
      <c r="AO1117" s="108"/>
      <c r="AP1117" s="108"/>
      <c r="AQ1117" s="108"/>
      <c r="AR1117" s="108"/>
      <c r="AS1117" s="108"/>
      <c r="AT1117" s="108"/>
      <c r="AU1117" s="108"/>
      <c r="AV1117" s="108"/>
      <c r="AW1117" s="108"/>
      <c r="AX1117" s="108"/>
      <c r="AY1117" s="108"/>
      <c r="AZ1117" s="108"/>
      <c r="BA1117" s="108"/>
      <c r="BB1117" s="108"/>
      <c r="BC1117" s="108"/>
      <c r="BD1117" s="108"/>
      <c r="BE1117" s="108"/>
      <c r="BF1117" s="108"/>
      <c r="BG1117" s="108"/>
      <c r="BH1117" s="108"/>
      <c r="BI1117" s="108"/>
      <c r="BJ1117" s="108"/>
      <c r="BK1117" s="108"/>
      <c r="BL1117" s="108"/>
      <c r="BM1117" s="108"/>
      <c r="BN1117" s="108"/>
      <c r="BO1117" s="108"/>
      <c r="BP1117" s="108"/>
      <c r="BQ1117" s="108"/>
      <c r="BR1117" s="108"/>
      <c r="BS1117" s="108"/>
      <c r="BT1117" s="108"/>
      <c r="BU1117" s="108"/>
      <c r="BV1117" s="108"/>
      <c r="BW1117" s="108"/>
      <c r="BX1117" s="108"/>
      <c r="BY1117" s="108"/>
      <c r="BZ1117" s="108"/>
      <c r="CA1117" s="108"/>
      <c r="CB1117" s="108"/>
      <c r="CC1117" s="108"/>
      <c r="CD1117" s="108"/>
      <c r="CE1117" s="108"/>
      <c r="CF1117" s="108"/>
      <c r="CG1117" s="108"/>
      <c r="CH1117" s="108"/>
      <c r="CI1117" s="108"/>
      <c r="CJ1117" s="108"/>
      <c r="CK1117" s="108"/>
      <c r="CL1117" s="108"/>
      <c r="CM1117" s="108"/>
      <c r="CN1117" s="110"/>
      <c r="CO1117" s="111"/>
      <c r="CP1117" s="110"/>
      <c r="CQ1117" s="111"/>
      <c r="CR1117" s="110"/>
      <c r="CS1117" s="111"/>
      <c r="CT1117" s="112">
        <f t="shared" si="277"/>
        <v>0</v>
      </c>
      <c r="CU1117" s="113"/>
      <c r="CV1117" s="114"/>
      <c r="CW1117" s="115"/>
      <c r="CX1117" s="116"/>
      <c r="CY1117" s="117"/>
      <c r="CZ1117" s="116"/>
      <c r="DA1117" s="113"/>
      <c r="DB1117" s="114"/>
      <c r="DC1117" s="64"/>
      <c r="DD1117" s="118"/>
    </row>
    <row r="1118" spans="1:108" s="119" customFormat="1" ht="24" outlineLevel="2">
      <c r="A1118" s="178">
        <v>40492</v>
      </c>
      <c r="B1118" s="164" t="s">
        <v>1666</v>
      </c>
      <c r="C1118" s="164" t="s">
        <v>529</v>
      </c>
      <c r="D1118" s="166" t="s">
        <v>435</v>
      </c>
      <c r="E1118" s="163">
        <v>1</v>
      </c>
      <c r="F1118" s="105"/>
      <c r="G1118" s="105"/>
      <c r="H1118" s="105">
        <v>5</v>
      </c>
      <c r="I1118" s="105">
        <v>1</v>
      </c>
      <c r="J1118" s="105">
        <v>1</v>
      </c>
      <c r="K1118" s="105"/>
      <c r="L1118" s="105"/>
      <c r="M1118" s="105"/>
      <c r="N1118" s="105"/>
      <c r="O1118" s="105"/>
      <c r="P1118" s="105"/>
      <c r="Q1118" s="105"/>
      <c r="R1118" s="105"/>
      <c r="S1118" s="105"/>
      <c r="T1118" s="106"/>
      <c r="U1118" s="130"/>
      <c r="V1118" s="1"/>
      <c r="W1118" s="68">
        <f t="shared" si="273"/>
        <v>0</v>
      </c>
      <c r="X1118" s="68">
        <f t="shared" si="274"/>
        <v>0</v>
      </c>
      <c r="Y1118" s="68">
        <f t="shared" si="272"/>
        <v>0</v>
      </c>
      <c r="Z1118" s="68">
        <f t="shared" si="275"/>
        <v>0</v>
      </c>
      <c r="AA1118" s="68"/>
      <c r="AB1118" s="68">
        <v>0</v>
      </c>
      <c r="AC1118" s="69">
        <f t="shared" si="276"/>
        <v>0</v>
      </c>
      <c r="AD1118" s="70">
        <v>0</v>
      </c>
      <c r="AE1118" s="63">
        <v>40494</v>
      </c>
      <c r="AF1118" s="72"/>
      <c r="AG1118" s="63" t="s">
        <v>938</v>
      </c>
      <c r="AH1118" s="23" t="s">
        <v>939</v>
      </c>
      <c r="AI1118" s="60"/>
      <c r="AJ1118" s="124" t="s">
        <v>1608</v>
      </c>
      <c r="AK1118" s="121" t="s">
        <v>602</v>
      </c>
      <c r="AL1118" s="107"/>
      <c r="AM1118" s="108"/>
      <c r="AN1118" s="109"/>
      <c r="AO1118" s="108"/>
      <c r="AP1118" s="108"/>
      <c r="AQ1118" s="108"/>
      <c r="AR1118" s="108"/>
      <c r="AS1118" s="108"/>
      <c r="AT1118" s="108"/>
      <c r="AU1118" s="108"/>
      <c r="AV1118" s="108"/>
      <c r="AW1118" s="108"/>
      <c r="AX1118" s="108"/>
      <c r="AY1118" s="108"/>
      <c r="AZ1118" s="108"/>
      <c r="BA1118" s="108"/>
      <c r="BB1118" s="108"/>
      <c r="BC1118" s="108"/>
      <c r="BD1118" s="108"/>
      <c r="BE1118" s="108"/>
      <c r="BF1118" s="108"/>
      <c r="BG1118" s="108"/>
      <c r="BH1118" s="108"/>
      <c r="BI1118" s="108"/>
      <c r="BJ1118" s="108"/>
      <c r="BK1118" s="108"/>
      <c r="BL1118" s="108"/>
      <c r="BM1118" s="108"/>
      <c r="BN1118" s="108"/>
      <c r="BO1118" s="108"/>
      <c r="BP1118" s="108"/>
      <c r="BQ1118" s="108"/>
      <c r="BR1118" s="108"/>
      <c r="BS1118" s="108"/>
      <c r="BT1118" s="108"/>
      <c r="BU1118" s="108"/>
      <c r="BV1118" s="108"/>
      <c r="BW1118" s="108"/>
      <c r="BX1118" s="108"/>
      <c r="BY1118" s="108"/>
      <c r="BZ1118" s="108"/>
      <c r="CA1118" s="108"/>
      <c r="CB1118" s="108"/>
      <c r="CC1118" s="108"/>
      <c r="CD1118" s="108"/>
      <c r="CE1118" s="108"/>
      <c r="CF1118" s="108"/>
      <c r="CG1118" s="108"/>
      <c r="CH1118" s="108"/>
      <c r="CI1118" s="108"/>
      <c r="CJ1118" s="108"/>
      <c r="CK1118" s="108"/>
      <c r="CL1118" s="108"/>
      <c r="CM1118" s="108"/>
      <c r="CN1118" s="110"/>
      <c r="CO1118" s="111"/>
      <c r="CP1118" s="110"/>
      <c r="CQ1118" s="111"/>
      <c r="CR1118" s="110"/>
      <c r="CS1118" s="111"/>
      <c r="CT1118" s="112">
        <f t="shared" si="277"/>
        <v>0</v>
      </c>
      <c r="CU1118" s="113"/>
      <c r="CV1118" s="114"/>
      <c r="CW1118" s="115"/>
      <c r="CX1118" s="116"/>
      <c r="CY1118" s="117"/>
      <c r="CZ1118" s="116"/>
      <c r="DA1118" s="113"/>
      <c r="DB1118" s="114"/>
      <c r="DC1118" s="64"/>
      <c r="DD1118" s="118"/>
    </row>
    <row r="1119" spans="1:108" s="119" customFormat="1" ht="24" outlineLevel="2">
      <c r="A1119" s="178">
        <v>40492</v>
      </c>
      <c r="B1119" s="164" t="s">
        <v>1666</v>
      </c>
      <c r="C1119" s="164" t="s">
        <v>1549</v>
      </c>
      <c r="D1119" s="166" t="s">
        <v>1262</v>
      </c>
      <c r="E1119" s="163"/>
      <c r="F1119" s="105"/>
      <c r="G1119" s="105"/>
      <c r="H1119" s="105"/>
      <c r="I1119" s="105"/>
      <c r="J1119" s="105"/>
      <c r="K1119" s="105"/>
      <c r="L1119" s="105"/>
      <c r="M1119" s="105"/>
      <c r="N1119" s="105"/>
      <c r="O1119" s="105"/>
      <c r="P1119" s="105"/>
      <c r="Q1119" s="105"/>
      <c r="R1119" s="105"/>
      <c r="S1119" s="105"/>
      <c r="T1119" s="106"/>
      <c r="U1119" s="130"/>
      <c r="V1119" s="1"/>
      <c r="W1119" s="68">
        <f t="shared" si="273"/>
        <v>0</v>
      </c>
      <c r="X1119" s="68">
        <f t="shared" si="274"/>
        <v>0</v>
      </c>
      <c r="Y1119" s="68">
        <f t="shared" si="272"/>
        <v>0</v>
      </c>
      <c r="Z1119" s="68">
        <f t="shared" si="275"/>
        <v>0</v>
      </c>
      <c r="AA1119" s="68"/>
      <c r="AB1119" s="68">
        <v>0</v>
      </c>
      <c r="AC1119" s="69">
        <f t="shared" si="276"/>
        <v>0</v>
      </c>
      <c r="AD1119" s="70">
        <v>0</v>
      </c>
      <c r="AE1119" s="63">
        <v>40494</v>
      </c>
      <c r="AF1119" s="72"/>
      <c r="AG1119" s="63" t="s">
        <v>938</v>
      </c>
      <c r="AH1119" s="23" t="s">
        <v>939</v>
      </c>
      <c r="AI1119" s="60"/>
      <c r="AJ1119" s="124" t="s">
        <v>1608</v>
      </c>
      <c r="AK1119" s="121" t="s">
        <v>596</v>
      </c>
      <c r="AL1119" s="107"/>
      <c r="AM1119" s="108"/>
      <c r="AN1119" s="109"/>
      <c r="AO1119" s="108"/>
      <c r="AP1119" s="108"/>
      <c r="AQ1119" s="108"/>
      <c r="AR1119" s="108"/>
      <c r="AS1119" s="108"/>
      <c r="AT1119" s="108"/>
      <c r="AU1119" s="108"/>
      <c r="AV1119" s="108"/>
      <c r="AW1119" s="108"/>
      <c r="AX1119" s="108"/>
      <c r="AY1119" s="108"/>
      <c r="AZ1119" s="108"/>
      <c r="BA1119" s="108"/>
      <c r="BB1119" s="108"/>
      <c r="BC1119" s="108"/>
      <c r="BD1119" s="108"/>
      <c r="BE1119" s="108"/>
      <c r="BF1119" s="108"/>
      <c r="BG1119" s="108"/>
      <c r="BH1119" s="108"/>
      <c r="BI1119" s="108"/>
      <c r="BJ1119" s="108"/>
      <c r="BK1119" s="108"/>
      <c r="BL1119" s="108"/>
      <c r="BM1119" s="108"/>
      <c r="BN1119" s="108"/>
      <c r="BO1119" s="108"/>
      <c r="BP1119" s="108"/>
      <c r="BQ1119" s="108"/>
      <c r="BR1119" s="108"/>
      <c r="BS1119" s="108"/>
      <c r="BT1119" s="108"/>
      <c r="BU1119" s="108"/>
      <c r="BV1119" s="108"/>
      <c r="BW1119" s="108"/>
      <c r="BX1119" s="108"/>
      <c r="BY1119" s="108"/>
      <c r="BZ1119" s="108"/>
      <c r="CA1119" s="108"/>
      <c r="CB1119" s="108"/>
      <c r="CC1119" s="108"/>
      <c r="CD1119" s="108"/>
      <c r="CE1119" s="108"/>
      <c r="CF1119" s="108"/>
      <c r="CG1119" s="108"/>
      <c r="CH1119" s="108"/>
      <c r="CI1119" s="108"/>
      <c r="CJ1119" s="108"/>
      <c r="CK1119" s="108"/>
      <c r="CL1119" s="108"/>
      <c r="CM1119" s="108"/>
      <c r="CN1119" s="110"/>
      <c r="CO1119" s="111"/>
      <c r="CP1119" s="110"/>
      <c r="CQ1119" s="111"/>
      <c r="CR1119" s="110"/>
      <c r="CS1119" s="111"/>
      <c r="CT1119" s="112">
        <f t="shared" si="277"/>
        <v>0</v>
      </c>
      <c r="CU1119" s="113"/>
      <c r="CV1119" s="114"/>
      <c r="CW1119" s="115"/>
      <c r="CX1119" s="116"/>
      <c r="CY1119" s="117"/>
      <c r="CZ1119" s="116"/>
      <c r="DA1119" s="113"/>
      <c r="DB1119" s="114"/>
      <c r="DC1119" s="64"/>
      <c r="DD1119" s="118"/>
    </row>
    <row r="1120" spans="1:108" s="119" customFormat="1" ht="24" outlineLevel="2">
      <c r="A1120" s="178">
        <v>40492</v>
      </c>
      <c r="B1120" s="164" t="s">
        <v>1666</v>
      </c>
      <c r="C1120" s="164" t="s">
        <v>597</v>
      </c>
      <c r="D1120" s="165" t="s">
        <v>1182</v>
      </c>
      <c r="E1120" s="163">
        <v>1</v>
      </c>
      <c r="F1120" s="105"/>
      <c r="G1120" s="105"/>
      <c r="H1120" s="105">
        <v>400</v>
      </c>
      <c r="I1120" s="105">
        <v>80</v>
      </c>
      <c r="J1120" s="105"/>
      <c r="K1120" s="105">
        <v>10</v>
      </c>
      <c r="L1120" s="105">
        <v>1</v>
      </c>
      <c r="M1120" s="105"/>
      <c r="N1120" s="105"/>
      <c r="O1120" s="105"/>
      <c r="P1120" s="105"/>
      <c r="Q1120" s="105"/>
      <c r="R1120" s="105"/>
      <c r="S1120" s="105"/>
      <c r="T1120" s="106"/>
      <c r="U1120" s="130"/>
      <c r="V1120" s="1"/>
      <c r="W1120" s="68">
        <f t="shared" si="273"/>
        <v>0</v>
      </c>
      <c r="X1120" s="68">
        <f t="shared" si="274"/>
        <v>0</v>
      </c>
      <c r="Y1120" s="68">
        <f t="shared" si="272"/>
        <v>0</v>
      </c>
      <c r="Z1120" s="68">
        <f t="shared" si="275"/>
        <v>0</v>
      </c>
      <c r="AA1120" s="68"/>
      <c r="AB1120" s="68">
        <v>0</v>
      </c>
      <c r="AC1120" s="69">
        <f t="shared" si="276"/>
        <v>0</v>
      </c>
      <c r="AD1120" s="70">
        <v>0</v>
      </c>
      <c r="AE1120" s="63">
        <v>40494</v>
      </c>
      <c r="AF1120" s="72"/>
      <c r="AG1120" s="63" t="s">
        <v>938</v>
      </c>
      <c r="AH1120" s="23" t="s">
        <v>939</v>
      </c>
      <c r="AI1120" s="60"/>
      <c r="AJ1120" s="124" t="s">
        <v>1608</v>
      </c>
      <c r="AK1120" s="121" t="s">
        <v>598</v>
      </c>
      <c r="AL1120" s="107"/>
      <c r="AM1120" s="108"/>
      <c r="AN1120" s="109"/>
      <c r="AO1120" s="108"/>
      <c r="AP1120" s="108"/>
      <c r="AQ1120" s="108"/>
      <c r="AR1120" s="108"/>
      <c r="AS1120" s="108"/>
      <c r="AT1120" s="108"/>
      <c r="AU1120" s="108"/>
      <c r="AV1120" s="108"/>
      <c r="AW1120" s="108"/>
      <c r="AX1120" s="108"/>
      <c r="AY1120" s="108"/>
      <c r="AZ1120" s="108"/>
      <c r="BA1120" s="108"/>
      <c r="BB1120" s="108"/>
      <c r="BC1120" s="108"/>
      <c r="BD1120" s="108"/>
      <c r="BE1120" s="108"/>
      <c r="BF1120" s="108"/>
      <c r="BG1120" s="108"/>
      <c r="BH1120" s="108"/>
      <c r="BI1120" s="108"/>
      <c r="BJ1120" s="108"/>
      <c r="BK1120" s="108"/>
      <c r="BL1120" s="108"/>
      <c r="BM1120" s="108"/>
      <c r="BN1120" s="108"/>
      <c r="BO1120" s="108"/>
      <c r="BP1120" s="108"/>
      <c r="BQ1120" s="108"/>
      <c r="BR1120" s="108"/>
      <c r="BS1120" s="108"/>
      <c r="BT1120" s="108"/>
      <c r="BU1120" s="108"/>
      <c r="BV1120" s="108"/>
      <c r="BW1120" s="108"/>
      <c r="BX1120" s="108"/>
      <c r="BY1120" s="108"/>
      <c r="BZ1120" s="108"/>
      <c r="CA1120" s="108"/>
      <c r="CB1120" s="108"/>
      <c r="CC1120" s="108"/>
      <c r="CD1120" s="108"/>
      <c r="CE1120" s="108"/>
      <c r="CF1120" s="108"/>
      <c r="CG1120" s="108"/>
      <c r="CH1120" s="108"/>
      <c r="CI1120" s="108"/>
      <c r="CJ1120" s="108"/>
      <c r="CK1120" s="108"/>
      <c r="CL1120" s="108"/>
      <c r="CM1120" s="108"/>
      <c r="CN1120" s="110"/>
      <c r="CO1120" s="111"/>
      <c r="CP1120" s="110"/>
      <c r="CQ1120" s="111"/>
      <c r="CR1120" s="110"/>
      <c r="CS1120" s="111"/>
      <c r="CT1120" s="112">
        <f t="shared" si="277"/>
        <v>0</v>
      </c>
      <c r="CU1120" s="113"/>
      <c r="CV1120" s="114"/>
      <c r="CW1120" s="115"/>
      <c r="CX1120" s="116"/>
      <c r="CY1120" s="117"/>
      <c r="CZ1120" s="116"/>
      <c r="DA1120" s="113"/>
      <c r="DB1120" s="114"/>
      <c r="DC1120" s="64"/>
      <c r="DD1120" s="118"/>
    </row>
    <row r="1121" spans="1:108" s="119" customFormat="1" ht="24" outlineLevel="2">
      <c r="A1121" s="178">
        <v>40492</v>
      </c>
      <c r="B1121" s="164" t="s">
        <v>1666</v>
      </c>
      <c r="C1121" s="164" t="s">
        <v>1314</v>
      </c>
      <c r="D1121" s="166" t="s">
        <v>1262</v>
      </c>
      <c r="E1121" s="163"/>
      <c r="F1121" s="105"/>
      <c r="G1121" s="105"/>
      <c r="H1121" s="105"/>
      <c r="I1121" s="105"/>
      <c r="J1121" s="105"/>
      <c r="K1121" s="105"/>
      <c r="L1121" s="105"/>
      <c r="M1121" s="105"/>
      <c r="N1121" s="105"/>
      <c r="O1121" s="105"/>
      <c r="P1121" s="105"/>
      <c r="Q1121" s="105"/>
      <c r="R1121" s="105"/>
      <c r="S1121" s="105"/>
      <c r="T1121" s="106"/>
      <c r="U1121" s="130"/>
      <c r="V1121" s="1"/>
      <c r="W1121" s="68">
        <f t="shared" si="273"/>
        <v>0</v>
      </c>
      <c r="X1121" s="68">
        <f t="shared" si="274"/>
        <v>0</v>
      </c>
      <c r="Y1121" s="68">
        <f t="shared" si="272"/>
        <v>0</v>
      </c>
      <c r="Z1121" s="68">
        <f t="shared" si="275"/>
        <v>0</v>
      </c>
      <c r="AA1121" s="68"/>
      <c r="AB1121" s="68">
        <v>0</v>
      </c>
      <c r="AC1121" s="69">
        <f t="shared" si="276"/>
        <v>0</v>
      </c>
      <c r="AD1121" s="70">
        <v>0</v>
      </c>
      <c r="AE1121" s="63">
        <v>40494</v>
      </c>
      <c r="AF1121" s="72"/>
      <c r="AG1121" s="63" t="s">
        <v>938</v>
      </c>
      <c r="AH1121" s="23" t="s">
        <v>939</v>
      </c>
      <c r="AI1121" s="60"/>
      <c r="AJ1121" s="124" t="s">
        <v>1608</v>
      </c>
      <c r="AK1121" s="121" t="s">
        <v>599</v>
      </c>
      <c r="AL1121" s="107"/>
      <c r="AM1121" s="108"/>
      <c r="AN1121" s="109"/>
      <c r="AO1121" s="108"/>
      <c r="AP1121" s="108"/>
      <c r="AQ1121" s="108"/>
      <c r="AR1121" s="108"/>
      <c r="AS1121" s="108"/>
      <c r="AT1121" s="108"/>
      <c r="AU1121" s="108"/>
      <c r="AV1121" s="108"/>
      <c r="AW1121" s="108"/>
      <c r="AX1121" s="108"/>
      <c r="AY1121" s="108"/>
      <c r="AZ1121" s="108"/>
      <c r="BA1121" s="108"/>
      <c r="BB1121" s="108"/>
      <c r="BC1121" s="108"/>
      <c r="BD1121" s="108"/>
      <c r="BE1121" s="108"/>
      <c r="BF1121" s="108"/>
      <c r="BG1121" s="108"/>
      <c r="BH1121" s="108"/>
      <c r="BI1121" s="108"/>
      <c r="BJ1121" s="108"/>
      <c r="BK1121" s="108"/>
      <c r="BL1121" s="108"/>
      <c r="BM1121" s="108"/>
      <c r="BN1121" s="108"/>
      <c r="BO1121" s="108"/>
      <c r="BP1121" s="108"/>
      <c r="BQ1121" s="108"/>
      <c r="BR1121" s="108"/>
      <c r="BS1121" s="108"/>
      <c r="BT1121" s="108"/>
      <c r="BU1121" s="108"/>
      <c r="BV1121" s="108"/>
      <c r="BW1121" s="108"/>
      <c r="BX1121" s="108"/>
      <c r="BY1121" s="108"/>
      <c r="BZ1121" s="108"/>
      <c r="CA1121" s="108"/>
      <c r="CB1121" s="108"/>
      <c r="CC1121" s="108"/>
      <c r="CD1121" s="108"/>
      <c r="CE1121" s="108"/>
      <c r="CF1121" s="108"/>
      <c r="CG1121" s="108"/>
      <c r="CH1121" s="108"/>
      <c r="CI1121" s="108"/>
      <c r="CJ1121" s="108"/>
      <c r="CK1121" s="108"/>
      <c r="CL1121" s="108"/>
      <c r="CM1121" s="108"/>
      <c r="CN1121" s="110"/>
      <c r="CO1121" s="111"/>
      <c r="CP1121" s="110"/>
      <c r="CQ1121" s="111"/>
      <c r="CR1121" s="110"/>
      <c r="CS1121" s="111"/>
      <c r="CT1121" s="112">
        <f t="shared" si="277"/>
        <v>0</v>
      </c>
      <c r="CU1121" s="113"/>
      <c r="CV1121" s="114"/>
      <c r="CW1121" s="115"/>
      <c r="CX1121" s="116"/>
      <c r="CY1121" s="117"/>
      <c r="CZ1121" s="116"/>
      <c r="DA1121" s="113"/>
      <c r="DB1121" s="114"/>
      <c r="DC1121" s="64"/>
      <c r="DD1121" s="118"/>
    </row>
    <row r="1122" spans="1:108" s="119" customFormat="1" ht="36" outlineLevel="2">
      <c r="A1122" s="178">
        <v>40494</v>
      </c>
      <c r="B1122" s="164" t="s">
        <v>1666</v>
      </c>
      <c r="C1122" s="164" t="s">
        <v>11</v>
      </c>
      <c r="D1122" s="165" t="s">
        <v>1182</v>
      </c>
      <c r="E1122" s="163"/>
      <c r="F1122" s="105"/>
      <c r="G1122" s="105"/>
      <c r="H1122" s="105">
        <v>440</v>
      </c>
      <c r="I1122" s="105">
        <v>88</v>
      </c>
      <c r="J1122" s="105">
        <v>44</v>
      </c>
      <c r="K1122" s="105">
        <v>21</v>
      </c>
      <c r="L1122" s="105"/>
      <c r="M1122" s="105"/>
      <c r="N1122" s="105"/>
      <c r="O1122" s="105"/>
      <c r="P1122" s="105"/>
      <c r="Q1122" s="105"/>
      <c r="R1122" s="105"/>
      <c r="S1122" s="105"/>
      <c r="T1122" s="106"/>
      <c r="U1122" s="130"/>
      <c r="V1122" s="1"/>
      <c r="W1122" s="68">
        <f t="shared" si="273"/>
        <v>0</v>
      </c>
      <c r="X1122" s="68">
        <f t="shared" si="274"/>
        <v>0</v>
      </c>
      <c r="Y1122" s="68">
        <f t="shared" si="272"/>
        <v>0</v>
      </c>
      <c r="Z1122" s="68">
        <f t="shared" si="275"/>
        <v>0</v>
      </c>
      <c r="AA1122" s="68"/>
      <c r="AB1122" s="68">
        <v>0</v>
      </c>
      <c r="AC1122" s="69">
        <f t="shared" si="276"/>
        <v>0</v>
      </c>
      <c r="AD1122" s="70">
        <v>0</v>
      </c>
      <c r="AE1122" s="63">
        <v>40497</v>
      </c>
      <c r="AF1122" s="72"/>
      <c r="AG1122" s="63" t="s">
        <v>938</v>
      </c>
      <c r="AH1122" s="23" t="s">
        <v>939</v>
      </c>
      <c r="AI1122" s="60"/>
      <c r="AJ1122" s="124" t="s">
        <v>1608</v>
      </c>
      <c r="AK1122" s="121" t="s">
        <v>12</v>
      </c>
      <c r="AL1122" s="107"/>
      <c r="AM1122" s="108"/>
      <c r="AN1122" s="109"/>
      <c r="AO1122" s="108"/>
      <c r="AP1122" s="108"/>
      <c r="AQ1122" s="108"/>
      <c r="AR1122" s="108"/>
      <c r="AS1122" s="108"/>
      <c r="AT1122" s="108"/>
      <c r="AU1122" s="108"/>
      <c r="AV1122" s="108"/>
      <c r="AW1122" s="108"/>
      <c r="AX1122" s="108"/>
      <c r="AY1122" s="108"/>
      <c r="AZ1122" s="108"/>
      <c r="BA1122" s="108"/>
      <c r="BB1122" s="108"/>
      <c r="BC1122" s="108"/>
      <c r="BD1122" s="108"/>
      <c r="BE1122" s="108"/>
      <c r="BF1122" s="108"/>
      <c r="BG1122" s="108"/>
      <c r="BH1122" s="108"/>
      <c r="BI1122" s="108"/>
      <c r="BJ1122" s="108"/>
      <c r="BK1122" s="108"/>
      <c r="BL1122" s="108"/>
      <c r="BM1122" s="108"/>
      <c r="BN1122" s="108"/>
      <c r="BO1122" s="108"/>
      <c r="BP1122" s="108"/>
      <c r="BQ1122" s="108"/>
      <c r="BR1122" s="108"/>
      <c r="BS1122" s="108"/>
      <c r="BT1122" s="108"/>
      <c r="BU1122" s="108"/>
      <c r="BV1122" s="108"/>
      <c r="BW1122" s="108"/>
      <c r="BX1122" s="108"/>
      <c r="BY1122" s="108"/>
      <c r="BZ1122" s="108"/>
      <c r="CA1122" s="108"/>
      <c r="CB1122" s="108"/>
      <c r="CC1122" s="108"/>
      <c r="CD1122" s="108"/>
      <c r="CE1122" s="108"/>
      <c r="CF1122" s="108"/>
      <c r="CG1122" s="108"/>
      <c r="CH1122" s="108"/>
      <c r="CI1122" s="108"/>
      <c r="CJ1122" s="108"/>
      <c r="CK1122" s="108"/>
      <c r="CL1122" s="108"/>
      <c r="CM1122" s="108"/>
      <c r="CN1122" s="110"/>
      <c r="CO1122" s="111"/>
      <c r="CP1122" s="110"/>
      <c r="CQ1122" s="111"/>
      <c r="CR1122" s="110"/>
      <c r="CS1122" s="111"/>
      <c r="CT1122" s="112">
        <f t="shared" si="277"/>
        <v>0</v>
      </c>
      <c r="CU1122" s="113"/>
      <c r="CV1122" s="114"/>
      <c r="CW1122" s="115"/>
      <c r="CX1122" s="116"/>
      <c r="CY1122" s="117"/>
      <c r="CZ1122" s="116"/>
      <c r="DA1122" s="113"/>
      <c r="DB1122" s="114"/>
      <c r="DC1122" s="64"/>
      <c r="DD1122" s="118"/>
    </row>
    <row r="1123" spans="1:108" s="119" customFormat="1" ht="36" outlineLevel="2">
      <c r="A1123" s="178">
        <v>40496</v>
      </c>
      <c r="B1123" s="164" t="s">
        <v>1666</v>
      </c>
      <c r="C1123" s="164" t="s">
        <v>1387</v>
      </c>
      <c r="D1123" s="166" t="s">
        <v>1262</v>
      </c>
      <c r="E1123" s="163"/>
      <c r="F1123" s="105"/>
      <c r="G1123" s="105"/>
      <c r="H1123" s="105">
        <v>175</v>
      </c>
      <c r="I1123" s="105">
        <v>35</v>
      </c>
      <c r="J1123" s="105"/>
      <c r="K1123" s="105">
        <v>35</v>
      </c>
      <c r="L1123" s="105"/>
      <c r="M1123" s="105"/>
      <c r="N1123" s="105"/>
      <c r="O1123" s="105"/>
      <c r="P1123" s="105"/>
      <c r="Q1123" s="105"/>
      <c r="R1123" s="105"/>
      <c r="S1123" s="105"/>
      <c r="T1123" s="106"/>
      <c r="U1123" s="130"/>
      <c r="V1123" s="1"/>
      <c r="W1123" s="68">
        <f t="shared" si="273"/>
        <v>0</v>
      </c>
      <c r="X1123" s="68">
        <f t="shared" si="274"/>
        <v>0</v>
      </c>
      <c r="Y1123" s="68">
        <f t="shared" si="272"/>
        <v>0</v>
      </c>
      <c r="Z1123" s="68">
        <f t="shared" si="275"/>
        <v>0</v>
      </c>
      <c r="AA1123" s="68"/>
      <c r="AB1123" s="68">
        <v>0</v>
      </c>
      <c r="AC1123" s="69">
        <f t="shared" si="276"/>
        <v>0</v>
      </c>
      <c r="AD1123" s="70">
        <v>0</v>
      </c>
      <c r="AE1123" s="63">
        <v>40497</v>
      </c>
      <c r="AF1123" s="72"/>
      <c r="AG1123" s="63" t="s">
        <v>938</v>
      </c>
      <c r="AH1123" s="23" t="s">
        <v>939</v>
      </c>
      <c r="AI1123" s="60"/>
      <c r="AJ1123" s="124" t="s">
        <v>1608</v>
      </c>
      <c r="AK1123" s="121" t="s">
        <v>54</v>
      </c>
      <c r="AL1123" s="107"/>
      <c r="AM1123" s="108"/>
      <c r="AN1123" s="109"/>
      <c r="AO1123" s="108"/>
      <c r="AP1123" s="108"/>
      <c r="AQ1123" s="108"/>
      <c r="AR1123" s="108"/>
      <c r="AS1123" s="108"/>
      <c r="AT1123" s="108"/>
      <c r="AU1123" s="108"/>
      <c r="AV1123" s="108"/>
      <c r="AW1123" s="108"/>
      <c r="AX1123" s="108"/>
      <c r="AY1123" s="108"/>
      <c r="AZ1123" s="108"/>
      <c r="BA1123" s="108"/>
      <c r="BB1123" s="108"/>
      <c r="BC1123" s="108"/>
      <c r="BD1123" s="108"/>
      <c r="BE1123" s="108"/>
      <c r="BF1123" s="108"/>
      <c r="BG1123" s="108"/>
      <c r="BH1123" s="108"/>
      <c r="BI1123" s="108"/>
      <c r="BJ1123" s="108"/>
      <c r="BK1123" s="108"/>
      <c r="BL1123" s="108"/>
      <c r="BM1123" s="108"/>
      <c r="BN1123" s="108"/>
      <c r="BO1123" s="108"/>
      <c r="BP1123" s="108"/>
      <c r="BQ1123" s="108"/>
      <c r="BR1123" s="108"/>
      <c r="BS1123" s="108"/>
      <c r="BT1123" s="108"/>
      <c r="BU1123" s="108"/>
      <c r="BV1123" s="108"/>
      <c r="BW1123" s="108"/>
      <c r="BX1123" s="108"/>
      <c r="BY1123" s="108"/>
      <c r="BZ1123" s="108"/>
      <c r="CA1123" s="108"/>
      <c r="CB1123" s="108"/>
      <c r="CC1123" s="108"/>
      <c r="CD1123" s="108"/>
      <c r="CE1123" s="108"/>
      <c r="CF1123" s="108"/>
      <c r="CG1123" s="108"/>
      <c r="CH1123" s="108"/>
      <c r="CI1123" s="108"/>
      <c r="CJ1123" s="108"/>
      <c r="CK1123" s="108"/>
      <c r="CL1123" s="108"/>
      <c r="CM1123" s="108"/>
      <c r="CN1123" s="110"/>
      <c r="CO1123" s="111"/>
      <c r="CP1123" s="110"/>
      <c r="CQ1123" s="111"/>
      <c r="CR1123" s="110"/>
      <c r="CS1123" s="111"/>
      <c r="CT1123" s="112">
        <f t="shared" si="277"/>
        <v>0</v>
      </c>
      <c r="CU1123" s="113"/>
      <c r="CV1123" s="114"/>
      <c r="CW1123" s="115"/>
      <c r="CX1123" s="116"/>
      <c r="CY1123" s="117"/>
      <c r="CZ1123" s="116"/>
      <c r="DA1123" s="113"/>
      <c r="DB1123" s="114"/>
      <c r="DC1123" s="64"/>
      <c r="DD1123" s="118"/>
    </row>
    <row r="1124" spans="1:108" s="119" customFormat="1" ht="24" outlineLevel="2">
      <c r="A1124" s="178">
        <v>40497</v>
      </c>
      <c r="B1124" s="164" t="s">
        <v>1666</v>
      </c>
      <c r="C1124" s="164" t="s">
        <v>55</v>
      </c>
      <c r="D1124" s="165" t="s">
        <v>1182</v>
      </c>
      <c r="E1124" s="163"/>
      <c r="F1124" s="105"/>
      <c r="G1124" s="105"/>
      <c r="H1124" s="105">
        <v>225</v>
      </c>
      <c r="I1124" s="105">
        <v>45</v>
      </c>
      <c r="J1124" s="105"/>
      <c r="K1124" s="105">
        <v>30</v>
      </c>
      <c r="L1124" s="105">
        <v>1</v>
      </c>
      <c r="M1124" s="105"/>
      <c r="N1124" s="105"/>
      <c r="O1124" s="105">
        <v>1</v>
      </c>
      <c r="P1124" s="105">
        <v>1</v>
      </c>
      <c r="Q1124" s="105"/>
      <c r="R1124" s="105"/>
      <c r="S1124" s="105"/>
      <c r="T1124" s="106"/>
      <c r="U1124" s="130"/>
      <c r="V1124" s="1"/>
      <c r="W1124" s="68">
        <f t="shared" si="273"/>
        <v>0</v>
      </c>
      <c r="X1124" s="68">
        <f t="shared" si="274"/>
        <v>0</v>
      </c>
      <c r="Y1124" s="68">
        <f t="shared" si="272"/>
        <v>0</v>
      </c>
      <c r="Z1124" s="68">
        <f t="shared" si="275"/>
        <v>0</v>
      </c>
      <c r="AA1124" s="68"/>
      <c r="AB1124" s="68">
        <v>0</v>
      </c>
      <c r="AC1124" s="69">
        <f t="shared" si="276"/>
        <v>0</v>
      </c>
      <c r="AD1124" s="70">
        <v>0</v>
      </c>
      <c r="AE1124" s="63">
        <v>40498</v>
      </c>
      <c r="AF1124" s="72"/>
      <c r="AG1124" s="63" t="s">
        <v>938</v>
      </c>
      <c r="AH1124" s="23" t="s">
        <v>939</v>
      </c>
      <c r="AI1124" s="60"/>
      <c r="AJ1124" s="124" t="s">
        <v>52</v>
      </c>
      <c r="AK1124" s="121" t="s">
        <v>56</v>
      </c>
      <c r="AL1124" s="107"/>
      <c r="AM1124" s="108"/>
      <c r="AN1124" s="109"/>
      <c r="AO1124" s="108"/>
      <c r="AP1124" s="108"/>
      <c r="AQ1124" s="108"/>
      <c r="AR1124" s="108"/>
      <c r="AS1124" s="108"/>
      <c r="AT1124" s="108"/>
      <c r="AU1124" s="108"/>
      <c r="AV1124" s="108"/>
      <c r="AW1124" s="108"/>
      <c r="AX1124" s="108"/>
      <c r="AY1124" s="108"/>
      <c r="AZ1124" s="108"/>
      <c r="BA1124" s="108"/>
      <c r="BB1124" s="108"/>
      <c r="BC1124" s="108"/>
      <c r="BD1124" s="108"/>
      <c r="BE1124" s="108"/>
      <c r="BF1124" s="108"/>
      <c r="BG1124" s="108"/>
      <c r="BH1124" s="108"/>
      <c r="BI1124" s="108"/>
      <c r="BJ1124" s="108"/>
      <c r="BK1124" s="108"/>
      <c r="BL1124" s="108"/>
      <c r="BM1124" s="108"/>
      <c r="BN1124" s="108"/>
      <c r="BO1124" s="108"/>
      <c r="BP1124" s="108"/>
      <c r="BQ1124" s="108"/>
      <c r="BR1124" s="108"/>
      <c r="BS1124" s="108"/>
      <c r="BT1124" s="108"/>
      <c r="BU1124" s="108"/>
      <c r="BV1124" s="108"/>
      <c r="BW1124" s="108"/>
      <c r="BX1124" s="108"/>
      <c r="BY1124" s="108"/>
      <c r="BZ1124" s="108"/>
      <c r="CA1124" s="108"/>
      <c r="CB1124" s="108"/>
      <c r="CC1124" s="108"/>
      <c r="CD1124" s="108"/>
      <c r="CE1124" s="108"/>
      <c r="CF1124" s="108"/>
      <c r="CG1124" s="108"/>
      <c r="CH1124" s="108"/>
      <c r="CI1124" s="108"/>
      <c r="CJ1124" s="108"/>
      <c r="CK1124" s="108"/>
      <c r="CL1124" s="108"/>
      <c r="CM1124" s="108"/>
      <c r="CN1124" s="110"/>
      <c r="CO1124" s="111"/>
      <c r="CP1124" s="110"/>
      <c r="CQ1124" s="111"/>
      <c r="CR1124" s="110"/>
      <c r="CS1124" s="111"/>
      <c r="CT1124" s="112">
        <f t="shared" si="277"/>
        <v>0</v>
      </c>
      <c r="CU1124" s="113"/>
      <c r="CV1124" s="114"/>
      <c r="CW1124" s="115"/>
      <c r="CX1124" s="116"/>
      <c r="CY1124" s="117"/>
      <c r="CZ1124" s="116"/>
      <c r="DA1124" s="113"/>
      <c r="DB1124" s="114"/>
      <c r="DC1124" s="64"/>
      <c r="DD1124" s="118"/>
    </row>
    <row r="1125" spans="1:108" s="119" customFormat="1" ht="36" outlineLevel="2">
      <c r="A1125" s="178">
        <v>40502</v>
      </c>
      <c r="B1125" s="164" t="s">
        <v>1666</v>
      </c>
      <c r="C1125" s="164" t="s">
        <v>1387</v>
      </c>
      <c r="D1125" s="165" t="s">
        <v>1182</v>
      </c>
      <c r="E1125" s="163"/>
      <c r="F1125" s="105"/>
      <c r="G1125" s="105"/>
      <c r="H1125" s="105"/>
      <c r="I1125" s="105"/>
      <c r="J1125" s="105"/>
      <c r="K1125" s="105"/>
      <c r="L1125" s="105"/>
      <c r="M1125" s="105"/>
      <c r="N1125" s="105"/>
      <c r="O1125" s="105"/>
      <c r="P1125" s="105"/>
      <c r="Q1125" s="105"/>
      <c r="R1125" s="105"/>
      <c r="S1125" s="105"/>
      <c r="T1125" s="106"/>
      <c r="U1125" s="130"/>
      <c r="V1125" s="1"/>
      <c r="W1125" s="68">
        <f t="shared" si="273"/>
        <v>0</v>
      </c>
      <c r="X1125" s="68">
        <f t="shared" si="274"/>
        <v>0</v>
      </c>
      <c r="Y1125" s="68">
        <f t="shared" si="272"/>
        <v>0</v>
      </c>
      <c r="Z1125" s="68">
        <f t="shared" si="275"/>
        <v>0</v>
      </c>
      <c r="AA1125" s="68"/>
      <c r="AB1125" s="68">
        <v>0</v>
      </c>
      <c r="AC1125" s="69">
        <f t="shared" si="276"/>
        <v>0</v>
      </c>
      <c r="AD1125" s="70">
        <v>0</v>
      </c>
      <c r="AE1125" s="63">
        <v>40504</v>
      </c>
      <c r="AF1125" s="72"/>
      <c r="AG1125" s="63" t="s">
        <v>938</v>
      </c>
      <c r="AH1125" s="23" t="s">
        <v>939</v>
      </c>
      <c r="AI1125" s="60"/>
      <c r="AJ1125" s="124" t="s">
        <v>1608</v>
      </c>
      <c r="AK1125" s="121" t="s">
        <v>674</v>
      </c>
      <c r="AL1125" s="107"/>
      <c r="AM1125" s="108"/>
      <c r="AN1125" s="109"/>
      <c r="AO1125" s="108"/>
      <c r="AP1125" s="108"/>
      <c r="AQ1125" s="108"/>
      <c r="AR1125" s="108"/>
      <c r="AS1125" s="108"/>
      <c r="AT1125" s="108"/>
      <c r="AU1125" s="108"/>
      <c r="AV1125" s="108"/>
      <c r="AW1125" s="108"/>
      <c r="AX1125" s="108"/>
      <c r="AY1125" s="108"/>
      <c r="AZ1125" s="108"/>
      <c r="BA1125" s="108"/>
      <c r="BB1125" s="108"/>
      <c r="BC1125" s="108"/>
      <c r="BD1125" s="108"/>
      <c r="BE1125" s="108"/>
      <c r="BF1125" s="108"/>
      <c r="BG1125" s="108"/>
      <c r="BH1125" s="108"/>
      <c r="BI1125" s="108"/>
      <c r="BJ1125" s="108"/>
      <c r="BK1125" s="108"/>
      <c r="BL1125" s="108"/>
      <c r="BM1125" s="108"/>
      <c r="BN1125" s="108"/>
      <c r="BO1125" s="108"/>
      <c r="BP1125" s="108"/>
      <c r="BQ1125" s="108"/>
      <c r="BR1125" s="108"/>
      <c r="BS1125" s="108"/>
      <c r="BT1125" s="108"/>
      <c r="BU1125" s="108"/>
      <c r="BV1125" s="108"/>
      <c r="BW1125" s="108"/>
      <c r="BX1125" s="108"/>
      <c r="BY1125" s="108"/>
      <c r="BZ1125" s="108"/>
      <c r="CA1125" s="108"/>
      <c r="CB1125" s="108"/>
      <c r="CC1125" s="108"/>
      <c r="CD1125" s="108"/>
      <c r="CE1125" s="108"/>
      <c r="CF1125" s="108"/>
      <c r="CG1125" s="108"/>
      <c r="CH1125" s="108"/>
      <c r="CI1125" s="108"/>
      <c r="CJ1125" s="108"/>
      <c r="CK1125" s="108"/>
      <c r="CL1125" s="108"/>
      <c r="CM1125" s="108"/>
      <c r="CN1125" s="110"/>
      <c r="CO1125" s="111"/>
      <c r="CP1125" s="110"/>
      <c r="CQ1125" s="111"/>
      <c r="CR1125" s="110"/>
      <c r="CS1125" s="111"/>
      <c r="CT1125" s="112">
        <f t="shared" si="277"/>
        <v>0</v>
      </c>
      <c r="CU1125" s="113"/>
      <c r="CV1125" s="114"/>
      <c r="CW1125" s="115"/>
      <c r="CX1125" s="116"/>
      <c r="CY1125" s="117"/>
      <c r="CZ1125" s="116"/>
      <c r="DA1125" s="113"/>
      <c r="DB1125" s="114"/>
      <c r="DC1125" s="64"/>
      <c r="DD1125" s="118"/>
    </row>
    <row r="1126" spans="1:108" s="119" customFormat="1" ht="24" outlineLevel="2">
      <c r="A1126" s="178">
        <v>40504</v>
      </c>
      <c r="B1126" s="164" t="s">
        <v>1666</v>
      </c>
      <c r="C1126" s="164" t="s">
        <v>290</v>
      </c>
      <c r="D1126" s="166" t="s">
        <v>1200</v>
      </c>
      <c r="E1126" s="163"/>
      <c r="F1126" s="105"/>
      <c r="G1126" s="105"/>
      <c r="H1126" s="105">
        <v>395</v>
      </c>
      <c r="I1126" s="105">
        <v>79</v>
      </c>
      <c r="J1126" s="105">
        <v>33</v>
      </c>
      <c r="K1126" s="105">
        <v>46</v>
      </c>
      <c r="L1126" s="105"/>
      <c r="M1126" s="105"/>
      <c r="N1126" s="105">
        <v>1</v>
      </c>
      <c r="O1126" s="105"/>
      <c r="P1126" s="105"/>
      <c r="Q1126" s="105"/>
      <c r="R1126" s="105"/>
      <c r="S1126" s="105"/>
      <c r="T1126" s="106"/>
      <c r="U1126" s="130" t="s">
        <v>1676</v>
      </c>
      <c r="V1126" s="1"/>
      <c r="W1126" s="68">
        <f t="shared" si="273"/>
        <v>0</v>
      </c>
      <c r="X1126" s="68">
        <f t="shared" si="274"/>
        <v>0</v>
      </c>
      <c r="Y1126" s="68">
        <f t="shared" ref="Y1126:Y1148" si="278">CZ1126+DB1126</f>
        <v>0</v>
      </c>
      <c r="Z1126" s="68">
        <f t="shared" si="275"/>
        <v>0</v>
      </c>
      <c r="AA1126" s="68"/>
      <c r="AB1126" s="68">
        <v>0</v>
      </c>
      <c r="AC1126" s="69">
        <f t="shared" si="276"/>
        <v>0</v>
      </c>
      <c r="AD1126" s="70">
        <v>0</v>
      </c>
      <c r="AE1126" s="63">
        <v>40506</v>
      </c>
      <c r="AF1126" s="72"/>
      <c r="AG1126" s="63" t="s">
        <v>938</v>
      </c>
      <c r="AH1126" s="23" t="s">
        <v>939</v>
      </c>
      <c r="AI1126" s="60"/>
      <c r="AJ1126" s="124" t="s">
        <v>1608</v>
      </c>
      <c r="AK1126" s="121" t="s">
        <v>291</v>
      </c>
      <c r="AL1126" s="107"/>
      <c r="AM1126" s="108"/>
      <c r="AN1126" s="109"/>
      <c r="AO1126" s="108"/>
      <c r="AP1126" s="108"/>
      <c r="AQ1126" s="108"/>
      <c r="AR1126" s="108"/>
      <c r="AS1126" s="108"/>
      <c r="AT1126" s="108"/>
      <c r="AU1126" s="108"/>
      <c r="AV1126" s="108"/>
      <c r="AW1126" s="108"/>
      <c r="AX1126" s="108"/>
      <c r="AY1126" s="108"/>
      <c r="AZ1126" s="108"/>
      <c r="BA1126" s="108"/>
      <c r="BB1126" s="108"/>
      <c r="BC1126" s="108"/>
      <c r="BD1126" s="108"/>
      <c r="BE1126" s="108"/>
      <c r="BF1126" s="108"/>
      <c r="BG1126" s="108"/>
      <c r="BH1126" s="108"/>
      <c r="BI1126" s="108"/>
      <c r="BJ1126" s="108"/>
      <c r="BK1126" s="108"/>
      <c r="BL1126" s="108"/>
      <c r="BM1126" s="108"/>
      <c r="BN1126" s="108"/>
      <c r="BO1126" s="108"/>
      <c r="BP1126" s="108"/>
      <c r="BQ1126" s="108"/>
      <c r="BR1126" s="108"/>
      <c r="BS1126" s="108"/>
      <c r="BT1126" s="108"/>
      <c r="BU1126" s="108"/>
      <c r="BV1126" s="108"/>
      <c r="BW1126" s="108"/>
      <c r="BX1126" s="108"/>
      <c r="BY1126" s="108"/>
      <c r="BZ1126" s="108"/>
      <c r="CA1126" s="108"/>
      <c r="CB1126" s="108"/>
      <c r="CC1126" s="108"/>
      <c r="CD1126" s="108"/>
      <c r="CE1126" s="108"/>
      <c r="CF1126" s="108"/>
      <c r="CG1126" s="108"/>
      <c r="CH1126" s="108"/>
      <c r="CI1126" s="108"/>
      <c r="CJ1126" s="108"/>
      <c r="CK1126" s="108"/>
      <c r="CL1126" s="108"/>
      <c r="CM1126" s="108"/>
      <c r="CN1126" s="110"/>
      <c r="CO1126" s="111"/>
      <c r="CP1126" s="110"/>
      <c r="CQ1126" s="111"/>
      <c r="CR1126" s="110"/>
      <c r="CS1126" s="111"/>
      <c r="CT1126" s="112">
        <f t="shared" si="277"/>
        <v>0</v>
      </c>
      <c r="CU1126" s="113"/>
      <c r="CV1126" s="114"/>
      <c r="CW1126" s="115"/>
      <c r="CX1126" s="116"/>
      <c r="CY1126" s="117"/>
      <c r="CZ1126" s="116"/>
      <c r="DA1126" s="113"/>
      <c r="DB1126" s="114"/>
      <c r="DC1126" s="64"/>
      <c r="DD1126" s="118"/>
    </row>
    <row r="1127" spans="1:108" s="119" customFormat="1" ht="48" outlineLevel="2">
      <c r="A1127" s="178">
        <v>40504</v>
      </c>
      <c r="B1127" s="164" t="s">
        <v>1666</v>
      </c>
      <c r="C1127" s="164" t="s">
        <v>1996</v>
      </c>
      <c r="D1127" s="165" t="s">
        <v>1182</v>
      </c>
      <c r="E1127" s="163"/>
      <c r="F1127" s="105"/>
      <c r="G1127" s="105"/>
      <c r="H1127" s="105">
        <f>15*5</f>
        <v>75</v>
      </c>
      <c r="I1127" s="105">
        <f>343-323-5</f>
        <v>15</v>
      </c>
      <c r="J1127" s="105"/>
      <c r="K1127" s="105"/>
      <c r="L1127" s="105"/>
      <c r="M1127" s="105"/>
      <c r="N1127" s="105">
        <v>1</v>
      </c>
      <c r="O1127" s="105"/>
      <c r="P1127" s="105"/>
      <c r="Q1127" s="105"/>
      <c r="R1127" s="105"/>
      <c r="S1127" s="105"/>
      <c r="T1127" s="106"/>
      <c r="U1127" s="130" t="s">
        <v>414</v>
      </c>
      <c r="V1127" s="1"/>
      <c r="W1127" s="68">
        <f t="shared" si="273"/>
        <v>0</v>
      </c>
      <c r="X1127" s="68">
        <f t="shared" si="274"/>
        <v>0</v>
      </c>
      <c r="Y1127" s="68">
        <f t="shared" si="278"/>
        <v>0</v>
      </c>
      <c r="Z1127" s="68">
        <f t="shared" si="275"/>
        <v>0</v>
      </c>
      <c r="AA1127" s="68"/>
      <c r="AB1127" s="68">
        <v>0</v>
      </c>
      <c r="AC1127" s="69">
        <f t="shared" si="276"/>
        <v>0</v>
      </c>
      <c r="AD1127" s="70">
        <v>0</v>
      </c>
      <c r="AE1127" s="63">
        <v>40505</v>
      </c>
      <c r="AF1127" s="72"/>
      <c r="AG1127" s="63" t="s">
        <v>938</v>
      </c>
      <c r="AH1127" s="23" t="s">
        <v>939</v>
      </c>
      <c r="AI1127" s="60"/>
      <c r="AJ1127" s="124" t="s">
        <v>1608</v>
      </c>
      <c r="AK1127" s="121" t="s">
        <v>718</v>
      </c>
      <c r="AL1127" s="107"/>
      <c r="AM1127" s="108"/>
      <c r="AN1127" s="109"/>
      <c r="AO1127" s="108"/>
      <c r="AP1127" s="108"/>
      <c r="AQ1127" s="108"/>
      <c r="AR1127" s="108"/>
      <c r="AS1127" s="108"/>
      <c r="AT1127" s="108"/>
      <c r="AU1127" s="108"/>
      <c r="AV1127" s="108"/>
      <c r="AW1127" s="108"/>
      <c r="AX1127" s="108"/>
      <c r="AY1127" s="108"/>
      <c r="AZ1127" s="108"/>
      <c r="BA1127" s="108"/>
      <c r="BB1127" s="108"/>
      <c r="BC1127" s="108"/>
      <c r="BD1127" s="108"/>
      <c r="BE1127" s="108"/>
      <c r="BF1127" s="108"/>
      <c r="BG1127" s="108"/>
      <c r="BH1127" s="108"/>
      <c r="BI1127" s="108"/>
      <c r="BJ1127" s="108"/>
      <c r="BK1127" s="108"/>
      <c r="BL1127" s="108"/>
      <c r="BM1127" s="108"/>
      <c r="BN1127" s="108"/>
      <c r="BO1127" s="108"/>
      <c r="BP1127" s="108"/>
      <c r="BQ1127" s="108"/>
      <c r="BR1127" s="108"/>
      <c r="BS1127" s="108"/>
      <c r="BT1127" s="108"/>
      <c r="BU1127" s="108"/>
      <c r="BV1127" s="108"/>
      <c r="BW1127" s="108"/>
      <c r="BX1127" s="108"/>
      <c r="BY1127" s="108"/>
      <c r="BZ1127" s="108"/>
      <c r="CA1127" s="108"/>
      <c r="CB1127" s="108"/>
      <c r="CC1127" s="108"/>
      <c r="CD1127" s="108"/>
      <c r="CE1127" s="108"/>
      <c r="CF1127" s="108"/>
      <c r="CG1127" s="108"/>
      <c r="CH1127" s="108"/>
      <c r="CI1127" s="108"/>
      <c r="CJ1127" s="108"/>
      <c r="CK1127" s="108"/>
      <c r="CL1127" s="108"/>
      <c r="CM1127" s="108"/>
      <c r="CN1127" s="110"/>
      <c r="CO1127" s="111"/>
      <c r="CP1127" s="110"/>
      <c r="CQ1127" s="111"/>
      <c r="CR1127" s="110"/>
      <c r="CS1127" s="111"/>
      <c r="CT1127" s="112">
        <f t="shared" si="277"/>
        <v>0</v>
      </c>
      <c r="CU1127" s="113"/>
      <c r="CV1127" s="114"/>
      <c r="CW1127" s="115"/>
      <c r="CX1127" s="116"/>
      <c r="CY1127" s="117"/>
      <c r="CZ1127" s="116"/>
      <c r="DA1127" s="113"/>
      <c r="DB1127" s="114"/>
      <c r="DC1127" s="64"/>
      <c r="DD1127" s="118"/>
    </row>
    <row r="1128" spans="1:108" s="119" customFormat="1" ht="36" outlineLevel="2">
      <c r="A1128" s="178">
        <v>40505</v>
      </c>
      <c r="B1128" s="164" t="s">
        <v>1666</v>
      </c>
      <c r="C1128" s="164" t="s">
        <v>1085</v>
      </c>
      <c r="D1128" s="165" t="s">
        <v>1262</v>
      </c>
      <c r="E1128" s="163"/>
      <c r="F1128" s="105"/>
      <c r="G1128" s="105"/>
      <c r="H1128" s="105">
        <v>1750</v>
      </c>
      <c r="I1128" s="105">
        <v>350</v>
      </c>
      <c r="J1128" s="66"/>
      <c r="K1128" s="105">
        <v>350</v>
      </c>
      <c r="L1128" s="105"/>
      <c r="M1128" s="105"/>
      <c r="N1128" s="105"/>
      <c r="O1128" s="105"/>
      <c r="P1128" s="105"/>
      <c r="Q1128" s="105"/>
      <c r="R1128" s="105"/>
      <c r="S1128" s="105"/>
      <c r="T1128" s="106"/>
      <c r="U1128" s="130"/>
      <c r="V1128" s="1"/>
      <c r="W1128" s="68">
        <f t="shared" si="273"/>
        <v>0</v>
      </c>
      <c r="X1128" s="68">
        <f t="shared" si="274"/>
        <v>0</v>
      </c>
      <c r="Y1128" s="68">
        <f t="shared" si="278"/>
        <v>0</v>
      </c>
      <c r="Z1128" s="68">
        <f t="shared" si="275"/>
        <v>0</v>
      </c>
      <c r="AA1128" s="68"/>
      <c r="AB1128" s="68">
        <v>0</v>
      </c>
      <c r="AC1128" s="69">
        <f t="shared" si="276"/>
        <v>0</v>
      </c>
      <c r="AD1128" s="70">
        <v>0</v>
      </c>
      <c r="AE1128" s="63">
        <v>40506</v>
      </c>
      <c r="AF1128" s="72"/>
      <c r="AG1128" s="63" t="s">
        <v>938</v>
      </c>
      <c r="AH1128" s="23" t="s">
        <v>939</v>
      </c>
      <c r="AI1128" s="60"/>
      <c r="AJ1128" s="124" t="s">
        <v>1608</v>
      </c>
      <c r="AK1128" s="121" t="s">
        <v>2154</v>
      </c>
      <c r="AL1128" s="107"/>
      <c r="AM1128" s="108"/>
      <c r="AN1128" s="109"/>
      <c r="AO1128" s="108"/>
      <c r="AP1128" s="108"/>
      <c r="AQ1128" s="108"/>
      <c r="AR1128" s="108"/>
      <c r="AS1128" s="108"/>
      <c r="AT1128" s="108"/>
      <c r="AU1128" s="108"/>
      <c r="AV1128" s="108"/>
      <c r="AW1128" s="108"/>
      <c r="AX1128" s="108"/>
      <c r="AY1128" s="108"/>
      <c r="AZ1128" s="108"/>
      <c r="BA1128" s="108"/>
      <c r="BB1128" s="108"/>
      <c r="BC1128" s="108"/>
      <c r="BD1128" s="108"/>
      <c r="BE1128" s="108"/>
      <c r="BF1128" s="108"/>
      <c r="BG1128" s="108"/>
      <c r="BH1128" s="108"/>
      <c r="BI1128" s="108"/>
      <c r="BJ1128" s="108"/>
      <c r="BK1128" s="108"/>
      <c r="BL1128" s="108"/>
      <c r="BM1128" s="108"/>
      <c r="BN1128" s="108"/>
      <c r="BO1128" s="108"/>
      <c r="BP1128" s="108"/>
      <c r="BQ1128" s="108"/>
      <c r="BR1128" s="108"/>
      <c r="BS1128" s="108"/>
      <c r="BT1128" s="108"/>
      <c r="BU1128" s="108"/>
      <c r="BV1128" s="108"/>
      <c r="BW1128" s="108"/>
      <c r="BX1128" s="108"/>
      <c r="BY1128" s="108"/>
      <c r="BZ1128" s="108"/>
      <c r="CA1128" s="108"/>
      <c r="CB1128" s="108"/>
      <c r="CC1128" s="108"/>
      <c r="CD1128" s="108"/>
      <c r="CE1128" s="108"/>
      <c r="CF1128" s="108"/>
      <c r="CG1128" s="108"/>
      <c r="CH1128" s="108"/>
      <c r="CI1128" s="108"/>
      <c r="CJ1128" s="108"/>
      <c r="CK1128" s="108"/>
      <c r="CL1128" s="108"/>
      <c r="CM1128" s="108"/>
      <c r="CN1128" s="110"/>
      <c r="CO1128" s="111"/>
      <c r="CP1128" s="110"/>
      <c r="CQ1128" s="111"/>
      <c r="CR1128" s="110"/>
      <c r="CS1128" s="111"/>
      <c r="CT1128" s="112">
        <f t="shared" si="277"/>
        <v>0</v>
      </c>
      <c r="CU1128" s="113"/>
      <c r="CV1128" s="114"/>
      <c r="CW1128" s="115"/>
      <c r="CX1128" s="116"/>
      <c r="CY1128" s="117"/>
      <c r="CZ1128" s="116"/>
      <c r="DA1128" s="113"/>
      <c r="DB1128" s="114"/>
      <c r="DC1128" s="64"/>
      <c r="DD1128" s="118"/>
    </row>
    <row r="1129" spans="1:108" s="119" customFormat="1" ht="36" outlineLevel="2">
      <c r="A1129" s="178">
        <v>40505</v>
      </c>
      <c r="B1129" s="164" t="s">
        <v>1666</v>
      </c>
      <c r="C1129" s="164" t="s">
        <v>1995</v>
      </c>
      <c r="D1129" s="166" t="s">
        <v>1200</v>
      </c>
      <c r="E1129" s="163"/>
      <c r="F1129" s="105"/>
      <c r="G1129" s="105"/>
      <c r="H1129" s="105"/>
      <c r="I1129" s="105"/>
      <c r="J1129" s="105"/>
      <c r="K1129" s="105"/>
      <c r="L1129" s="105"/>
      <c r="M1129" s="105"/>
      <c r="N1129" s="105">
        <v>1</v>
      </c>
      <c r="O1129" s="105"/>
      <c r="P1129" s="105"/>
      <c r="Q1129" s="105"/>
      <c r="R1129" s="105"/>
      <c r="S1129" s="105"/>
      <c r="T1129" s="106"/>
      <c r="U1129" s="130" t="s">
        <v>297</v>
      </c>
      <c r="V1129" s="1"/>
      <c r="W1129" s="68">
        <f t="shared" si="273"/>
        <v>0</v>
      </c>
      <c r="X1129" s="68">
        <f t="shared" si="274"/>
        <v>0</v>
      </c>
      <c r="Y1129" s="68">
        <f t="shared" si="278"/>
        <v>0</v>
      </c>
      <c r="Z1129" s="68">
        <f t="shared" si="275"/>
        <v>0</v>
      </c>
      <c r="AA1129" s="68"/>
      <c r="AB1129" s="68">
        <v>0</v>
      </c>
      <c r="AC1129" s="69">
        <f t="shared" si="276"/>
        <v>0</v>
      </c>
      <c r="AD1129" s="70">
        <v>0</v>
      </c>
      <c r="AE1129" s="63">
        <v>40506</v>
      </c>
      <c r="AF1129" s="72"/>
      <c r="AG1129" s="63" t="s">
        <v>938</v>
      </c>
      <c r="AH1129" s="23" t="s">
        <v>939</v>
      </c>
      <c r="AI1129" s="60"/>
      <c r="AJ1129" s="124" t="s">
        <v>1608</v>
      </c>
      <c r="AK1129" s="121" t="s">
        <v>296</v>
      </c>
      <c r="AL1129" s="107"/>
      <c r="AM1129" s="108"/>
      <c r="AN1129" s="109"/>
      <c r="AO1129" s="108"/>
      <c r="AP1129" s="108"/>
      <c r="AQ1129" s="108"/>
      <c r="AR1129" s="108"/>
      <c r="AS1129" s="108"/>
      <c r="AT1129" s="108"/>
      <c r="AU1129" s="108"/>
      <c r="AV1129" s="108"/>
      <c r="AW1129" s="108"/>
      <c r="AX1129" s="108"/>
      <c r="AY1129" s="108"/>
      <c r="AZ1129" s="108"/>
      <c r="BA1129" s="108"/>
      <c r="BB1129" s="108"/>
      <c r="BC1129" s="108"/>
      <c r="BD1129" s="108"/>
      <c r="BE1129" s="108"/>
      <c r="BF1129" s="108"/>
      <c r="BG1129" s="108"/>
      <c r="BH1129" s="108"/>
      <c r="BI1129" s="108"/>
      <c r="BJ1129" s="108"/>
      <c r="BK1129" s="108"/>
      <c r="BL1129" s="108"/>
      <c r="BM1129" s="108"/>
      <c r="BN1129" s="108"/>
      <c r="BO1129" s="108"/>
      <c r="BP1129" s="108"/>
      <c r="BQ1129" s="108"/>
      <c r="BR1129" s="108"/>
      <c r="BS1129" s="108"/>
      <c r="BT1129" s="108"/>
      <c r="BU1129" s="108"/>
      <c r="BV1129" s="108"/>
      <c r="BW1129" s="108"/>
      <c r="BX1129" s="108"/>
      <c r="BY1129" s="108"/>
      <c r="BZ1129" s="108"/>
      <c r="CA1129" s="108"/>
      <c r="CB1129" s="108"/>
      <c r="CC1129" s="108"/>
      <c r="CD1129" s="108"/>
      <c r="CE1129" s="108"/>
      <c r="CF1129" s="108"/>
      <c r="CG1129" s="108"/>
      <c r="CH1129" s="108"/>
      <c r="CI1129" s="108"/>
      <c r="CJ1129" s="108"/>
      <c r="CK1129" s="108"/>
      <c r="CL1129" s="108"/>
      <c r="CM1129" s="108"/>
      <c r="CN1129" s="110"/>
      <c r="CO1129" s="111"/>
      <c r="CP1129" s="110"/>
      <c r="CQ1129" s="111"/>
      <c r="CR1129" s="110"/>
      <c r="CS1129" s="111"/>
      <c r="CT1129" s="112">
        <f t="shared" si="277"/>
        <v>0</v>
      </c>
      <c r="CU1129" s="113"/>
      <c r="CV1129" s="114"/>
      <c r="CW1129" s="115"/>
      <c r="CX1129" s="116"/>
      <c r="CY1129" s="117"/>
      <c r="CZ1129" s="116"/>
      <c r="DA1129" s="113"/>
      <c r="DB1129" s="114"/>
      <c r="DC1129" s="64"/>
      <c r="DD1129" s="118"/>
    </row>
    <row r="1130" spans="1:108" s="119" customFormat="1" ht="24" outlineLevel="2">
      <c r="A1130" s="178">
        <v>40511</v>
      </c>
      <c r="B1130" s="164" t="s">
        <v>1666</v>
      </c>
      <c r="C1130" s="164" t="s">
        <v>1319</v>
      </c>
      <c r="D1130" s="166" t="s">
        <v>1182</v>
      </c>
      <c r="E1130" s="163"/>
      <c r="F1130" s="105"/>
      <c r="G1130" s="105"/>
      <c r="H1130" s="105">
        <v>55</v>
      </c>
      <c r="I1130" s="105">
        <v>11</v>
      </c>
      <c r="J1130" s="105">
        <v>1</v>
      </c>
      <c r="K1130" s="105">
        <v>10</v>
      </c>
      <c r="L1130" s="105"/>
      <c r="M1130" s="105"/>
      <c r="N1130" s="105"/>
      <c r="O1130" s="105">
        <v>1</v>
      </c>
      <c r="P1130" s="105"/>
      <c r="Q1130" s="105"/>
      <c r="R1130" s="105"/>
      <c r="S1130" s="105"/>
      <c r="T1130" s="106"/>
      <c r="U1130" s="130"/>
      <c r="V1130" s="1"/>
      <c r="W1130" s="68">
        <f t="shared" si="273"/>
        <v>0</v>
      </c>
      <c r="X1130" s="68">
        <f t="shared" si="274"/>
        <v>0</v>
      </c>
      <c r="Y1130" s="68">
        <f t="shared" si="278"/>
        <v>0</v>
      </c>
      <c r="Z1130" s="68">
        <f t="shared" si="275"/>
        <v>0</v>
      </c>
      <c r="AA1130" s="68"/>
      <c r="AB1130" s="68">
        <v>0</v>
      </c>
      <c r="AC1130" s="69">
        <f t="shared" si="276"/>
        <v>0</v>
      </c>
      <c r="AD1130" s="70">
        <v>0</v>
      </c>
      <c r="AE1130" s="63">
        <v>40512</v>
      </c>
      <c r="AF1130" s="72"/>
      <c r="AG1130" s="63" t="s">
        <v>938</v>
      </c>
      <c r="AH1130" s="23" t="s">
        <v>939</v>
      </c>
      <c r="AI1130" s="60"/>
      <c r="AJ1130" s="124" t="s">
        <v>1608</v>
      </c>
      <c r="AK1130" s="121" t="s">
        <v>2124</v>
      </c>
      <c r="AL1130" s="107"/>
      <c r="AM1130" s="108"/>
      <c r="AN1130" s="109"/>
      <c r="AO1130" s="108"/>
      <c r="AP1130" s="108"/>
      <c r="AQ1130" s="108"/>
      <c r="AR1130" s="108"/>
      <c r="AS1130" s="108"/>
      <c r="AT1130" s="108"/>
      <c r="AU1130" s="108"/>
      <c r="AV1130" s="108"/>
      <c r="AW1130" s="108"/>
      <c r="AX1130" s="108"/>
      <c r="AY1130" s="108"/>
      <c r="AZ1130" s="108"/>
      <c r="BA1130" s="108"/>
      <c r="BB1130" s="108"/>
      <c r="BC1130" s="108"/>
      <c r="BD1130" s="108"/>
      <c r="BE1130" s="108"/>
      <c r="BF1130" s="108"/>
      <c r="BG1130" s="108"/>
      <c r="BH1130" s="108"/>
      <c r="BI1130" s="108"/>
      <c r="BJ1130" s="108"/>
      <c r="BK1130" s="108"/>
      <c r="BL1130" s="108"/>
      <c r="BM1130" s="108"/>
      <c r="BN1130" s="108"/>
      <c r="BO1130" s="108"/>
      <c r="BP1130" s="108"/>
      <c r="BQ1130" s="108"/>
      <c r="BR1130" s="108"/>
      <c r="BS1130" s="108"/>
      <c r="BT1130" s="108"/>
      <c r="BU1130" s="108"/>
      <c r="BV1130" s="108"/>
      <c r="BW1130" s="108"/>
      <c r="BX1130" s="108"/>
      <c r="BY1130" s="108"/>
      <c r="BZ1130" s="108"/>
      <c r="CA1130" s="108"/>
      <c r="CB1130" s="108"/>
      <c r="CC1130" s="108"/>
      <c r="CD1130" s="108"/>
      <c r="CE1130" s="108"/>
      <c r="CF1130" s="108"/>
      <c r="CG1130" s="108"/>
      <c r="CH1130" s="108"/>
      <c r="CI1130" s="108"/>
      <c r="CJ1130" s="108"/>
      <c r="CK1130" s="108"/>
      <c r="CL1130" s="108"/>
      <c r="CM1130" s="108"/>
      <c r="CN1130" s="110"/>
      <c r="CO1130" s="111"/>
      <c r="CP1130" s="110"/>
      <c r="CQ1130" s="111"/>
      <c r="CR1130" s="110"/>
      <c r="CS1130" s="111"/>
      <c r="CT1130" s="112">
        <f t="shared" si="277"/>
        <v>0</v>
      </c>
      <c r="CU1130" s="113"/>
      <c r="CV1130" s="114"/>
      <c r="CW1130" s="115"/>
      <c r="CX1130" s="116"/>
      <c r="CY1130" s="117"/>
      <c r="CZ1130" s="116"/>
      <c r="DA1130" s="113"/>
      <c r="DB1130" s="114"/>
      <c r="DC1130" s="64"/>
      <c r="DD1130" s="118"/>
    </row>
    <row r="1131" spans="1:108" s="119" customFormat="1" ht="24" outlineLevel="2">
      <c r="A1131" s="178">
        <v>40511</v>
      </c>
      <c r="B1131" s="164" t="s">
        <v>1666</v>
      </c>
      <c r="C1131" s="164" t="s">
        <v>487</v>
      </c>
      <c r="D1131" s="166" t="s">
        <v>1262</v>
      </c>
      <c r="E1131" s="163"/>
      <c r="F1131" s="105"/>
      <c r="G1131" s="105"/>
      <c r="H1131" s="105">
        <f>2170-95</f>
        <v>2075</v>
      </c>
      <c r="I1131" s="105">
        <f>434-19</f>
        <v>415</v>
      </c>
      <c r="J1131" s="105">
        <v>2</v>
      </c>
      <c r="K1131" s="105">
        <v>2</v>
      </c>
      <c r="L1131" s="105"/>
      <c r="M1131" s="105"/>
      <c r="N1131" s="105"/>
      <c r="O1131" s="105"/>
      <c r="P1131" s="105"/>
      <c r="Q1131" s="105"/>
      <c r="R1131" s="105"/>
      <c r="S1131" s="105"/>
      <c r="T1131" s="106"/>
      <c r="U1131" s="130"/>
      <c r="V1131" s="1"/>
      <c r="W1131" s="68">
        <f t="shared" si="273"/>
        <v>0</v>
      </c>
      <c r="X1131" s="68">
        <f t="shared" si="274"/>
        <v>0</v>
      </c>
      <c r="Y1131" s="68">
        <f t="shared" si="278"/>
        <v>0</v>
      </c>
      <c r="Z1131" s="68">
        <f t="shared" si="275"/>
        <v>0</v>
      </c>
      <c r="AA1131" s="68"/>
      <c r="AB1131" s="68">
        <v>0</v>
      </c>
      <c r="AC1131" s="69">
        <f t="shared" si="276"/>
        <v>0</v>
      </c>
      <c r="AD1131" s="70">
        <v>0</v>
      </c>
      <c r="AE1131" s="63">
        <v>40512</v>
      </c>
      <c r="AF1131" s="72"/>
      <c r="AG1131" s="63" t="s">
        <v>938</v>
      </c>
      <c r="AH1131" s="23" t="s">
        <v>939</v>
      </c>
      <c r="AI1131" s="60"/>
      <c r="AJ1131" s="124" t="s">
        <v>1608</v>
      </c>
      <c r="AK1131" s="121" t="s">
        <v>2080</v>
      </c>
      <c r="AL1131" s="107"/>
      <c r="AM1131" s="108"/>
      <c r="AN1131" s="109"/>
      <c r="AO1131" s="108"/>
      <c r="AP1131" s="108"/>
      <c r="AQ1131" s="108"/>
      <c r="AR1131" s="108"/>
      <c r="AS1131" s="108"/>
      <c r="AT1131" s="108"/>
      <c r="AU1131" s="108"/>
      <c r="AV1131" s="108"/>
      <c r="AW1131" s="108"/>
      <c r="AX1131" s="108"/>
      <c r="AY1131" s="108"/>
      <c r="AZ1131" s="108"/>
      <c r="BA1131" s="108"/>
      <c r="BB1131" s="108"/>
      <c r="BC1131" s="108"/>
      <c r="BD1131" s="108"/>
      <c r="BE1131" s="108"/>
      <c r="BF1131" s="108"/>
      <c r="BG1131" s="108"/>
      <c r="BH1131" s="108"/>
      <c r="BI1131" s="108"/>
      <c r="BJ1131" s="108"/>
      <c r="BK1131" s="108"/>
      <c r="BL1131" s="108"/>
      <c r="BM1131" s="108"/>
      <c r="BN1131" s="108"/>
      <c r="BO1131" s="108"/>
      <c r="BP1131" s="108"/>
      <c r="BQ1131" s="108"/>
      <c r="BR1131" s="108"/>
      <c r="BS1131" s="108"/>
      <c r="BT1131" s="108"/>
      <c r="BU1131" s="108"/>
      <c r="BV1131" s="108"/>
      <c r="BW1131" s="108"/>
      <c r="BX1131" s="108"/>
      <c r="BY1131" s="108"/>
      <c r="BZ1131" s="108"/>
      <c r="CA1131" s="108"/>
      <c r="CB1131" s="108"/>
      <c r="CC1131" s="108"/>
      <c r="CD1131" s="108"/>
      <c r="CE1131" s="108"/>
      <c r="CF1131" s="108"/>
      <c r="CG1131" s="108"/>
      <c r="CH1131" s="108"/>
      <c r="CI1131" s="108"/>
      <c r="CJ1131" s="108"/>
      <c r="CK1131" s="108"/>
      <c r="CL1131" s="108"/>
      <c r="CM1131" s="108"/>
      <c r="CN1131" s="110"/>
      <c r="CO1131" s="111"/>
      <c r="CP1131" s="110"/>
      <c r="CQ1131" s="111"/>
      <c r="CR1131" s="110"/>
      <c r="CS1131" s="111"/>
      <c r="CT1131" s="112">
        <f t="shared" si="277"/>
        <v>0</v>
      </c>
      <c r="CU1131" s="113"/>
      <c r="CV1131" s="114"/>
      <c r="CW1131" s="115"/>
      <c r="CX1131" s="116"/>
      <c r="CY1131" s="117"/>
      <c r="CZ1131" s="116"/>
      <c r="DA1131" s="113"/>
      <c r="DB1131" s="114"/>
      <c r="DC1131" s="64"/>
      <c r="DD1131" s="118"/>
    </row>
    <row r="1132" spans="1:108" s="119" customFormat="1" ht="24" outlineLevel="2">
      <c r="A1132" s="178">
        <v>40512</v>
      </c>
      <c r="B1132" s="164" t="s">
        <v>1666</v>
      </c>
      <c r="C1132" s="164" t="s">
        <v>1387</v>
      </c>
      <c r="D1132" s="166" t="s">
        <v>1262</v>
      </c>
      <c r="E1132" s="163"/>
      <c r="F1132" s="105"/>
      <c r="G1132" s="105"/>
      <c r="H1132" s="105">
        <v>20</v>
      </c>
      <c r="I1132" s="105">
        <v>4</v>
      </c>
      <c r="J1132" s="105"/>
      <c r="K1132" s="105">
        <v>4</v>
      </c>
      <c r="L1132" s="105"/>
      <c r="M1132" s="105"/>
      <c r="N1132" s="105"/>
      <c r="O1132" s="105"/>
      <c r="P1132" s="105"/>
      <c r="Q1132" s="105"/>
      <c r="R1132" s="105"/>
      <c r="S1132" s="105"/>
      <c r="T1132" s="106"/>
      <c r="U1132" s="130"/>
      <c r="V1132" s="1"/>
      <c r="W1132" s="68">
        <f t="shared" si="273"/>
        <v>0</v>
      </c>
      <c r="X1132" s="68">
        <f t="shared" si="274"/>
        <v>0</v>
      </c>
      <c r="Y1132" s="68">
        <f t="shared" si="278"/>
        <v>0</v>
      </c>
      <c r="Z1132" s="68">
        <f t="shared" si="275"/>
        <v>0</v>
      </c>
      <c r="AA1132" s="68"/>
      <c r="AB1132" s="68">
        <v>0</v>
      </c>
      <c r="AC1132" s="69">
        <f t="shared" si="276"/>
        <v>0</v>
      </c>
      <c r="AD1132" s="70">
        <v>0</v>
      </c>
      <c r="AE1132" s="63">
        <v>40513</v>
      </c>
      <c r="AF1132" s="72"/>
      <c r="AG1132" s="63" t="s">
        <v>938</v>
      </c>
      <c r="AH1132" s="23" t="s">
        <v>939</v>
      </c>
      <c r="AI1132" s="60"/>
      <c r="AJ1132" s="124" t="s">
        <v>1608</v>
      </c>
      <c r="AK1132" s="121" t="s">
        <v>2109</v>
      </c>
      <c r="AL1132" s="107"/>
      <c r="AM1132" s="108"/>
      <c r="AN1132" s="109"/>
      <c r="AO1132" s="108"/>
      <c r="AP1132" s="108"/>
      <c r="AQ1132" s="108"/>
      <c r="AR1132" s="108"/>
      <c r="AS1132" s="108"/>
      <c r="AT1132" s="108"/>
      <c r="AU1132" s="108"/>
      <c r="AV1132" s="108"/>
      <c r="AW1132" s="108"/>
      <c r="AX1132" s="108"/>
      <c r="AY1132" s="108"/>
      <c r="AZ1132" s="108"/>
      <c r="BA1132" s="108"/>
      <c r="BB1132" s="108"/>
      <c r="BC1132" s="108"/>
      <c r="BD1132" s="108"/>
      <c r="BE1132" s="108"/>
      <c r="BF1132" s="108"/>
      <c r="BG1132" s="108"/>
      <c r="BH1132" s="108"/>
      <c r="BI1132" s="108"/>
      <c r="BJ1132" s="108"/>
      <c r="BK1132" s="108"/>
      <c r="BL1132" s="108"/>
      <c r="BM1132" s="108"/>
      <c r="BN1132" s="108"/>
      <c r="BO1132" s="108"/>
      <c r="BP1132" s="108"/>
      <c r="BQ1132" s="108"/>
      <c r="BR1132" s="108"/>
      <c r="BS1132" s="108"/>
      <c r="BT1132" s="108"/>
      <c r="BU1132" s="108"/>
      <c r="BV1132" s="108"/>
      <c r="BW1132" s="108"/>
      <c r="BX1132" s="108"/>
      <c r="BY1132" s="108"/>
      <c r="BZ1132" s="108"/>
      <c r="CA1132" s="108"/>
      <c r="CB1132" s="108"/>
      <c r="CC1132" s="108"/>
      <c r="CD1132" s="108"/>
      <c r="CE1132" s="108"/>
      <c r="CF1132" s="108"/>
      <c r="CG1132" s="108"/>
      <c r="CH1132" s="108"/>
      <c r="CI1132" s="108"/>
      <c r="CJ1132" s="108"/>
      <c r="CK1132" s="108"/>
      <c r="CL1132" s="108"/>
      <c r="CM1132" s="108"/>
      <c r="CN1132" s="110"/>
      <c r="CO1132" s="111"/>
      <c r="CP1132" s="110"/>
      <c r="CQ1132" s="111"/>
      <c r="CR1132" s="110"/>
      <c r="CS1132" s="111"/>
      <c r="CT1132" s="112">
        <f t="shared" si="277"/>
        <v>0</v>
      </c>
      <c r="CU1132" s="113"/>
      <c r="CV1132" s="114"/>
      <c r="CW1132" s="115"/>
      <c r="CX1132" s="116"/>
      <c r="CY1132" s="117"/>
      <c r="CZ1132" s="116"/>
      <c r="DA1132" s="113"/>
      <c r="DB1132" s="114"/>
      <c r="DC1132" s="64"/>
      <c r="DD1132" s="118"/>
    </row>
    <row r="1133" spans="1:108" s="119" customFormat="1" ht="60" outlineLevel="2">
      <c r="A1133" s="178">
        <v>40512</v>
      </c>
      <c r="B1133" s="164" t="s">
        <v>1666</v>
      </c>
      <c r="C1133" s="164" t="s">
        <v>1549</v>
      </c>
      <c r="D1133" s="166" t="s">
        <v>1262</v>
      </c>
      <c r="E1133" s="163"/>
      <c r="F1133" s="105"/>
      <c r="G1133" s="105"/>
      <c r="H1133" s="105">
        <f>7500-275</f>
        <v>7225</v>
      </c>
      <c r="I1133" s="105">
        <f>1500-55</f>
        <v>1445</v>
      </c>
      <c r="J1133" s="105"/>
      <c r="K1133" s="105"/>
      <c r="L1133" s="105"/>
      <c r="M1133" s="105"/>
      <c r="N1133" s="105"/>
      <c r="O1133" s="105"/>
      <c r="P1133" s="105"/>
      <c r="Q1133" s="105"/>
      <c r="R1133" s="105"/>
      <c r="S1133" s="105"/>
      <c r="T1133" s="106"/>
      <c r="U1133" s="130"/>
      <c r="V1133" s="1"/>
      <c r="W1133" s="68">
        <f t="shared" si="273"/>
        <v>0</v>
      </c>
      <c r="X1133" s="68">
        <f t="shared" si="274"/>
        <v>0</v>
      </c>
      <c r="Y1133" s="68">
        <f t="shared" si="278"/>
        <v>0</v>
      </c>
      <c r="Z1133" s="68">
        <f t="shared" si="275"/>
        <v>0</v>
      </c>
      <c r="AA1133" s="68"/>
      <c r="AB1133" s="68">
        <v>0</v>
      </c>
      <c r="AC1133" s="69">
        <f t="shared" si="276"/>
        <v>0</v>
      </c>
      <c r="AD1133" s="70">
        <v>0</v>
      </c>
      <c r="AE1133" s="63">
        <v>40513</v>
      </c>
      <c r="AF1133" s="72"/>
      <c r="AG1133" s="63" t="s">
        <v>938</v>
      </c>
      <c r="AH1133" s="23" t="s">
        <v>939</v>
      </c>
      <c r="AI1133" s="60"/>
      <c r="AJ1133" s="124" t="s">
        <v>1608</v>
      </c>
      <c r="AK1133" s="121" t="s">
        <v>2206</v>
      </c>
      <c r="AL1133" s="107"/>
      <c r="AM1133" s="108"/>
      <c r="AN1133" s="109"/>
      <c r="AO1133" s="108"/>
      <c r="AP1133" s="108"/>
      <c r="AQ1133" s="108"/>
      <c r="AR1133" s="108"/>
      <c r="AS1133" s="108"/>
      <c r="AT1133" s="108"/>
      <c r="AU1133" s="108"/>
      <c r="AV1133" s="108"/>
      <c r="AW1133" s="108"/>
      <c r="AX1133" s="108"/>
      <c r="AY1133" s="108"/>
      <c r="AZ1133" s="108"/>
      <c r="BA1133" s="108"/>
      <c r="BB1133" s="108"/>
      <c r="BC1133" s="108"/>
      <c r="BD1133" s="108"/>
      <c r="BE1133" s="108"/>
      <c r="BF1133" s="108"/>
      <c r="BG1133" s="108"/>
      <c r="BH1133" s="108"/>
      <c r="BI1133" s="108"/>
      <c r="BJ1133" s="108"/>
      <c r="BK1133" s="108"/>
      <c r="BL1133" s="108"/>
      <c r="BM1133" s="108"/>
      <c r="BN1133" s="108"/>
      <c r="BO1133" s="108"/>
      <c r="BP1133" s="108"/>
      <c r="BQ1133" s="108"/>
      <c r="BR1133" s="108"/>
      <c r="BS1133" s="108"/>
      <c r="BT1133" s="108"/>
      <c r="BU1133" s="108"/>
      <c r="BV1133" s="108"/>
      <c r="BW1133" s="108"/>
      <c r="BX1133" s="108"/>
      <c r="BY1133" s="108"/>
      <c r="BZ1133" s="108"/>
      <c r="CA1133" s="108"/>
      <c r="CB1133" s="108"/>
      <c r="CC1133" s="108"/>
      <c r="CD1133" s="108"/>
      <c r="CE1133" s="108"/>
      <c r="CF1133" s="108"/>
      <c r="CG1133" s="108"/>
      <c r="CH1133" s="108"/>
      <c r="CI1133" s="108"/>
      <c r="CJ1133" s="108"/>
      <c r="CK1133" s="108"/>
      <c r="CL1133" s="108"/>
      <c r="CM1133" s="108"/>
      <c r="CN1133" s="110"/>
      <c r="CO1133" s="111"/>
      <c r="CP1133" s="110"/>
      <c r="CQ1133" s="111"/>
      <c r="CR1133" s="110"/>
      <c r="CS1133" s="111"/>
      <c r="CT1133" s="112">
        <f t="shared" si="277"/>
        <v>0</v>
      </c>
      <c r="CU1133" s="113"/>
      <c r="CV1133" s="114"/>
      <c r="CW1133" s="115"/>
      <c r="CX1133" s="116"/>
      <c r="CY1133" s="117"/>
      <c r="CZ1133" s="116"/>
      <c r="DA1133" s="113"/>
      <c r="DB1133" s="114"/>
      <c r="DC1133" s="64"/>
      <c r="DD1133" s="118"/>
    </row>
    <row r="1134" spans="1:108" s="119" customFormat="1" ht="84" outlineLevel="2">
      <c r="A1134" s="178">
        <v>40512</v>
      </c>
      <c r="B1134" s="164" t="s">
        <v>1666</v>
      </c>
      <c r="C1134" s="164" t="s">
        <v>1314</v>
      </c>
      <c r="D1134" s="166" t="s">
        <v>1262</v>
      </c>
      <c r="E1134" s="163"/>
      <c r="F1134" s="105"/>
      <c r="G1134" s="105"/>
      <c r="H1134" s="105">
        <f>11805-1250</f>
        <v>10555</v>
      </c>
      <c r="I1134" s="105">
        <f>2361-250</f>
        <v>2111</v>
      </c>
      <c r="J1134" s="105">
        <v>2</v>
      </c>
      <c r="K1134" s="105">
        <v>11</v>
      </c>
      <c r="L1134" s="105"/>
      <c r="M1134" s="105"/>
      <c r="N1134" s="105"/>
      <c r="O1134" s="105"/>
      <c r="P1134" s="105"/>
      <c r="Q1134" s="105"/>
      <c r="R1134" s="105"/>
      <c r="S1134" s="105"/>
      <c r="T1134" s="106"/>
      <c r="U1134" s="130"/>
      <c r="V1134" s="1"/>
      <c r="W1134" s="68">
        <f t="shared" si="273"/>
        <v>0</v>
      </c>
      <c r="X1134" s="68">
        <f t="shared" si="274"/>
        <v>0</v>
      </c>
      <c r="Y1134" s="68">
        <f t="shared" si="278"/>
        <v>0</v>
      </c>
      <c r="Z1134" s="68">
        <f t="shared" si="275"/>
        <v>0</v>
      </c>
      <c r="AA1134" s="68"/>
      <c r="AB1134" s="68">
        <v>0</v>
      </c>
      <c r="AC1134" s="69">
        <f t="shared" si="276"/>
        <v>0</v>
      </c>
      <c r="AD1134" s="70">
        <v>0</v>
      </c>
      <c r="AE1134" s="63">
        <v>40513</v>
      </c>
      <c r="AF1134" s="72"/>
      <c r="AG1134" s="63" t="s">
        <v>938</v>
      </c>
      <c r="AH1134" s="23" t="s">
        <v>939</v>
      </c>
      <c r="AI1134" s="60"/>
      <c r="AJ1134" s="124" t="s">
        <v>1608</v>
      </c>
      <c r="AK1134" s="121" t="s">
        <v>2086</v>
      </c>
      <c r="AL1134" s="107"/>
      <c r="AM1134" s="108"/>
      <c r="AN1134" s="109"/>
      <c r="AO1134" s="108"/>
      <c r="AP1134" s="108"/>
      <c r="AQ1134" s="108"/>
      <c r="AR1134" s="108"/>
      <c r="AS1134" s="108"/>
      <c r="AT1134" s="108"/>
      <c r="AU1134" s="108"/>
      <c r="AV1134" s="108"/>
      <c r="AW1134" s="108"/>
      <c r="AX1134" s="108"/>
      <c r="AY1134" s="108"/>
      <c r="AZ1134" s="108"/>
      <c r="BA1134" s="108"/>
      <c r="BB1134" s="108"/>
      <c r="BC1134" s="108"/>
      <c r="BD1134" s="108"/>
      <c r="BE1134" s="108"/>
      <c r="BF1134" s="108"/>
      <c r="BG1134" s="108"/>
      <c r="BH1134" s="108"/>
      <c r="BI1134" s="108"/>
      <c r="BJ1134" s="108"/>
      <c r="BK1134" s="108"/>
      <c r="BL1134" s="108"/>
      <c r="BM1134" s="108"/>
      <c r="BN1134" s="108"/>
      <c r="BO1134" s="108"/>
      <c r="BP1134" s="108"/>
      <c r="BQ1134" s="108"/>
      <c r="BR1134" s="108"/>
      <c r="BS1134" s="108"/>
      <c r="BT1134" s="108"/>
      <c r="BU1134" s="108"/>
      <c r="BV1134" s="108"/>
      <c r="BW1134" s="108"/>
      <c r="BX1134" s="108"/>
      <c r="BY1134" s="108"/>
      <c r="BZ1134" s="108"/>
      <c r="CA1134" s="108"/>
      <c r="CB1134" s="108"/>
      <c r="CC1134" s="108"/>
      <c r="CD1134" s="108"/>
      <c r="CE1134" s="108"/>
      <c r="CF1134" s="108"/>
      <c r="CG1134" s="108"/>
      <c r="CH1134" s="108"/>
      <c r="CI1134" s="108"/>
      <c r="CJ1134" s="108"/>
      <c r="CK1134" s="108"/>
      <c r="CL1134" s="108"/>
      <c r="CM1134" s="108"/>
      <c r="CN1134" s="110"/>
      <c r="CO1134" s="111"/>
      <c r="CP1134" s="110"/>
      <c r="CQ1134" s="111"/>
      <c r="CR1134" s="110"/>
      <c r="CS1134" s="111"/>
      <c r="CT1134" s="112">
        <f t="shared" si="277"/>
        <v>0</v>
      </c>
      <c r="CU1134" s="113"/>
      <c r="CV1134" s="114"/>
      <c r="CW1134" s="115"/>
      <c r="CX1134" s="116"/>
      <c r="CY1134" s="117"/>
      <c r="CZ1134" s="116"/>
      <c r="DA1134" s="113"/>
      <c r="DB1134" s="114"/>
      <c r="DC1134" s="64"/>
      <c r="DD1134" s="118"/>
    </row>
    <row r="1135" spans="1:108" s="119" customFormat="1" ht="36" outlineLevel="2">
      <c r="A1135" s="178">
        <v>40513</v>
      </c>
      <c r="B1135" s="164" t="s">
        <v>1666</v>
      </c>
      <c r="C1135" s="164" t="s">
        <v>1727</v>
      </c>
      <c r="D1135" s="166" t="s">
        <v>1182</v>
      </c>
      <c r="E1135" s="163"/>
      <c r="F1135" s="105"/>
      <c r="G1135" s="105"/>
      <c r="H1135" s="105">
        <v>460</v>
      </c>
      <c r="I1135" s="105">
        <v>92</v>
      </c>
      <c r="J1135" s="105"/>
      <c r="K1135" s="105">
        <v>92</v>
      </c>
      <c r="L1135" s="105"/>
      <c r="M1135" s="105"/>
      <c r="N1135" s="105"/>
      <c r="O1135" s="105"/>
      <c r="P1135" s="105"/>
      <c r="Q1135" s="105"/>
      <c r="R1135" s="105"/>
      <c r="S1135" s="105"/>
      <c r="T1135" s="106"/>
      <c r="U1135" s="130"/>
      <c r="V1135" s="1"/>
      <c r="W1135" s="68">
        <f t="shared" si="273"/>
        <v>0</v>
      </c>
      <c r="X1135" s="68">
        <f t="shared" si="274"/>
        <v>0</v>
      </c>
      <c r="Y1135" s="68">
        <f t="shared" si="278"/>
        <v>0</v>
      </c>
      <c r="Z1135" s="68">
        <f t="shared" si="275"/>
        <v>0</v>
      </c>
      <c r="AA1135" s="68"/>
      <c r="AB1135" s="68">
        <v>0</v>
      </c>
      <c r="AC1135" s="69">
        <f t="shared" si="276"/>
        <v>0</v>
      </c>
      <c r="AD1135" s="70">
        <v>0</v>
      </c>
      <c r="AE1135" s="63"/>
      <c r="AF1135" s="72"/>
      <c r="AG1135" s="63"/>
      <c r="AH1135" s="23"/>
      <c r="AI1135" s="60"/>
      <c r="AJ1135" s="124"/>
      <c r="AK1135" s="121" t="s">
        <v>2209</v>
      </c>
      <c r="AL1135" s="107"/>
      <c r="AM1135" s="108"/>
      <c r="AN1135" s="109"/>
      <c r="AO1135" s="108"/>
      <c r="AP1135" s="108"/>
      <c r="AQ1135" s="108"/>
      <c r="AR1135" s="108"/>
      <c r="AS1135" s="108"/>
      <c r="AT1135" s="108"/>
      <c r="AU1135" s="108"/>
      <c r="AV1135" s="108"/>
      <c r="AW1135" s="108"/>
      <c r="AX1135" s="108"/>
      <c r="AY1135" s="108"/>
      <c r="AZ1135" s="108"/>
      <c r="BA1135" s="108"/>
      <c r="BB1135" s="108"/>
      <c r="BC1135" s="108"/>
      <c r="BD1135" s="108"/>
      <c r="BE1135" s="108"/>
      <c r="BF1135" s="108"/>
      <c r="BG1135" s="108"/>
      <c r="BH1135" s="108"/>
      <c r="BI1135" s="108"/>
      <c r="BJ1135" s="108"/>
      <c r="BK1135" s="108"/>
      <c r="BL1135" s="108"/>
      <c r="BM1135" s="108"/>
      <c r="BN1135" s="108"/>
      <c r="BO1135" s="108"/>
      <c r="BP1135" s="108"/>
      <c r="BQ1135" s="108"/>
      <c r="BR1135" s="108"/>
      <c r="BS1135" s="108"/>
      <c r="BT1135" s="108"/>
      <c r="BU1135" s="108"/>
      <c r="BV1135" s="108"/>
      <c r="BW1135" s="108"/>
      <c r="BX1135" s="108"/>
      <c r="BY1135" s="108"/>
      <c r="BZ1135" s="108"/>
      <c r="CA1135" s="108"/>
      <c r="CB1135" s="108"/>
      <c r="CC1135" s="108"/>
      <c r="CD1135" s="108"/>
      <c r="CE1135" s="108"/>
      <c r="CF1135" s="108"/>
      <c r="CG1135" s="108"/>
      <c r="CH1135" s="108"/>
      <c r="CI1135" s="108"/>
      <c r="CJ1135" s="108"/>
      <c r="CK1135" s="108"/>
      <c r="CL1135" s="108"/>
      <c r="CM1135" s="108"/>
      <c r="CN1135" s="110"/>
      <c r="CO1135" s="111"/>
      <c r="CP1135" s="110"/>
      <c r="CQ1135" s="111"/>
      <c r="CR1135" s="110"/>
      <c r="CS1135" s="111"/>
      <c r="CT1135" s="112">
        <f t="shared" si="277"/>
        <v>0</v>
      </c>
      <c r="CU1135" s="113"/>
      <c r="CV1135" s="114"/>
      <c r="CW1135" s="115"/>
      <c r="CX1135" s="116"/>
      <c r="CY1135" s="117"/>
      <c r="CZ1135" s="116"/>
      <c r="DA1135" s="113"/>
      <c r="DB1135" s="114"/>
      <c r="DC1135" s="64"/>
      <c r="DD1135" s="118"/>
    </row>
    <row r="1136" spans="1:108" s="119" customFormat="1" ht="48" outlineLevel="2">
      <c r="A1136" s="178">
        <v>40513</v>
      </c>
      <c r="B1136" s="164" t="s">
        <v>1666</v>
      </c>
      <c r="C1136" s="164" t="s">
        <v>1677</v>
      </c>
      <c r="D1136" s="166" t="s">
        <v>1182</v>
      </c>
      <c r="E1136" s="163"/>
      <c r="F1136" s="105"/>
      <c r="G1136" s="105"/>
      <c r="H1136" s="105">
        <v>100</v>
      </c>
      <c r="I1136" s="105">
        <v>20</v>
      </c>
      <c r="J1136" s="105">
        <v>20</v>
      </c>
      <c r="K1136" s="105"/>
      <c r="L1136" s="105"/>
      <c r="M1136" s="105"/>
      <c r="N1136" s="105"/>
      <c r="O1136" s="105"/>
      <c r="P1136" s="105"/>
      <c r="Q1136" s="105"/>
      <c r="R1136" s="105"/>
      <c r="S1136" s="105"/>
      <c r="T1136" s="106"/>
      <c r="U1136" s="130"/>
      <c r="V1136" s="1"/>
      <c r="W1136" s="68">
        <f t="shared" ref="W1136:W1148" si="279">CT1136</f>
        <v>0</v>
      </c>
      <c r="X1136" s="68">
        <f t="shared" ref="X1136:X1148" si="280">CX1136</f>
        <v>0</v>
      </c>
      <c r="Y1136" s="68">
        <f t="shared" si="278"/>
        <v>0</v>
      </c>
      <c r="Z1136" s="68">
        <f t="shared" ref="Z1136:Z1148" si="281">CV1136</f>
        <v>0</v>
      </c>
      <c r="AA1136" s="68"/>
      <c r="AB1136" s="68">
        <v>0</v>
      </c>
      <c r="AC1136" s="69">
        <f t="shared" ref="AC1136:AC1148" si="282">W1136+X1136+Y1136+Z1136+AA1136+AB1136</f>
        <v>0</v>
      </c>
      <c r="AD1136" s="70">
        <v>0</v>
      </c>
      <c r="AE1136" s="63"/>
      <c r="AF1136" s="72"/>
      <c r="AG1136" s="63"/>
      <c r="AH1136" s="23"/>
      <c r="AI1136" s="60"/>
      <c r="AJ1136" s="124"/>
      <c r="AK1136" s="121" t="s">
        <v>114</v>
      </c>
      <c r="AL1136" s="107"/>
      <c r="AM1136" s="108"/>
      <c r="AN1136" s="109"/>
      <c r="AO1136" s="108"/>
      <c r="AP1136" s="108"/>
      <c r="AQ1136" s="108"/>
      <c r="AR1136" s="108"/>
      <c r="AS1136" s="108"/>
      <c r="AT1136" s="108"/>
      <c r="AU1136" s="108"/>
      <c r="AV1136" s="108"/>
      <c r="AW1136" s="108"/>
      <c r="AX1136" s="108"/>
      <c r="AY1136" s="108"/>
      <c r="AZ1136" s="108"/>
      <c r="BA1136" s="108"/>
      <c r="BB1136" s="108"/>
      <c r="BC1136" s="108"/>
      <c r="BD1136" s="108"/>
      <c r="BE1136" s="108"/>
      <c r="BF1136" s="108"/>
      <c r="BG1136" s="108"/>
      <c r="BH1136" s="108"/>
      <c r="BI1136" s="108"/>
      <c r="BJ1136" s="108"/>
      <c r="BK1136" s="108"/>
      <c r="BL1136" s="108"/>
      <c r="BM1136" s="108"/>
      <c r="BN1136" s="108"/>
      <c r="BO1136" s="108"/>
      <c r="BP1136" s="108"/>
      <c r="BQ1136" s="108"/>
      <c r="BR1136" s="108"/>
      <c r="BS1136" s="108"/>
      <c r="BT1136" s="108"/>
      <c r="BU1136" s="108"/>
      <c r="BV1136" s="108"/>
      <c r="BW1136" s="108"/>
      <c r="BX1136" s="108"/>
      <c r="BY1136" s="108"/>
      <c r="BZ1136" s="108"/>
      <c r="CA1136" s="108"/>
      <c r="CB1136" s="108"/>
      <c r="CC1136" s="108"/>
      <c r="CD1136" s="108"/>
      <c r="CE1136" s="108"/>
      <c r="CF1136" s="108"/>
      <c r="CG1136" s="108"/>
      <c r="CH1136" s="108"/>
      <c r="CI1136" s="108"/>
      <c r="CJ1136" s="108"/>
      <c r="CK1136" s="108"/>
      <c r="CL1136" s="108"/>
      <c r="CM1136" s="108"/>
      <c r="CN1136" s="110"/>
      <c r="CO1136" s="111"/>
      <c r="CP1136" s="110"/>
      <c r="CQ1136" s="111"/>
      <c r="CR1136" s="110"/>
      <c r="CS1136" s="111"/>
      <c r="CT1136" s="112">
        <f t="shared" ref="CT1136:CT1148" si="283">AM1136+AO1136+AQ1136+AS1136+AU1136+AW1136+AY1136+BA1136+BC1136+BE1136+BG1136+BI1136+BK1136+BM1136+BO1136+BQ1136+BS1136+BU1136+BW1136+BY1136+CA1136+CC1136+CE1136+CG1136+CI1136+CK1136+CM1136+CO1136+CQ1136+CS1136</f>
        <v>0</v>
      </c>
      <c r="CU1136" s="113"/>
      <c r="CV1136" s="114"/>
      <c r="CW1136" s="115"/>
      <c r="CX1136" s="116"/>
      <c r="CY1136" s="117"/>
      <c r="CZ1136" s="116"/>
      <c r="DA1136" s="113"/>
      <c r="DB1136" s="114"/>
      <c r="DC1136" s="64"/>
      <c r="DD1136" s="118"/>
    </row>
    <row r="1137" spans="1:108" s="119" customFormat="1" ht="22.5" outlineLevel="2">
      <c r="A1137" s="178">
        <v>40513</v>
      </c>
      <c r="B1137" s="164" t="s">
        <v>1666</v>
      </c>
      <c r="C1137" s="164" t="s">
        <v>2400</v>
      </c>
      <c r="D1137" s="166" t="s">
        <v>1262</v>
      </c>
      <c r="E1137" s="163"/>
      <c r="F1137" s="105"/>
      <c r="G1137" s="105"/>
      <c r="H1137" s="105">
        <v>5</v>
      </c>
      <c r="I1137" s="105">
        <v>1</v>
      </c>
      <c r="J1137" s="105"/>
      <c r="K1137" s="105">
        <v>1</v>
      </c>
      <c r="L1137" s="105"/>
      <c r="M1137" s="105"/>
      <c r="N1137" s="105"/>
      <c r="O1137" s="105"/>
      <c r="P1137" s="105"/>
      <c r="Q1137" s="105"/>
      <c r="R1137" s="105"/>
      <c r="S1137" s="105"/>
      <c r="T1137" s="106"/>
      <c r="U1137" s="130"/>
      <c r="V1137" s="1"/>
      <c r="W1137" s="68">
        <f t="shared" si="279"/>
        <v>0</v>
      </c>
      <c r="X1137" s="68">
        <f t="shared" si="280"/>
        <v>0</v>
      </c>
      <c r="Y1137" s="68">
        <f t="shared" si="278"/>
        <v>0</v>
      </c>
      <c r="Z1137" s="68">
        <f t="shared" si="281"/>
        <v>0</v>
      </c>
      <c r="AA1137" s="68"/>
      <c r="AB1137" s="68">
        <v>0</v>
      </c>
      <c r="AC1137" s="69">
        <f t="shared" si="282"/>
        <v>0</v>
      </c>
      <c r="AD1137" s="70">
        <v>0</v>
      </c>
      <c r="AE1137" s="63"/>
      <c r="AF1137" s="72"/>
      <c r="AG1137" s="63"/>
      <c r="AH1137" s="23"/>
      <c r="AI1137" s="60"/>
      <c r="AJ1137" s="124"/>
      <c r="AK1137" s="121" t="s">
        <v>2405</v>
      </c>
      <c r="AL1137" s="107"/>
      <c r="AM1137" s="108"/>
      <c r="AN1137" s="109"/>
      <c r="AO1137" s="108"/>
      <c r="AP1137" s="108"/>
      <c r="AQ1137" s="108"/>
      <c r="AR1137" s="108"/>
      <c r="AS1137" s="108"/>
      <c r="AT1137" s="108"/>
      <c r="AU1137" s="108"/>
      <c r="AV1137" s="108"/>
      <c r="AW1137" s="108"/>
      <c r="AX1137" s="108"/>
      <c r="AY1137" s="108"/>
      <c r="AZ1137" s="108"/>
      <c r="BA1137" s="108"/>
      <c r="BB1137" s="108"/>
      <c r="BC1137" s="108"/>
      <c r="BD1137" s="108"/>
      <c r="BE1137" s="108"/>
      <c r="BF1137" s="108"/>
      <c r="BG1137" s="108"/>
      <c r="BH1137" s="108"/>
      <c r="BI1137" s="108"/>
      <c r="BJ1137" s="108"/>
      <c r="BK1137" s="108"/>
      <c r="BL1137" s="108"/>
      <c r="BM1137" s="108"/>
      <c r="BN1137" s="108"/>
      <c r="BO1137" s="108"/>
      <c r="BP1137" s="108"/>
      <c r="BQ1137" s="108"/>
      <c r="BR1137" s="108"/>
      <c r="BS1137" s="108"/>
      <c r="BT1137" s="108"/>
      <c r="BU1137" s="108"/>
      <c r="BV1137" s="108"/>
      <c r="BW1137" s="108"/>
      <c r="BX1137" s="108"/>
      <c r="BY1137" s="108"/>
      <c r="BZ1137" s="108"/>
      <c r="CA1137" s="108"/>
      <c r="CB1137" s="108"/>
      <c r="CC1137" s="108"/>
      <c r="CD1137" s="108"/>
      <c r="CE1137" s="108"/>
      <c r="CF1137" s="108"/>
      <c r="CG1137" s="108"/>
      <c r="CH1137" s="108"/>
      <c r="CI1137" s="108"/>
      <c r="CJ1137" s="108"/>
      <c r="CK1137" s="108"/>
      <c r="CL1137" s="108"/>
      <c r="CM1137" s="108"/>
      <c r="CN1137" s="110"/>
      <c r="CO1137" s="111"/>
      <c r="CP1137" s="110"/>
      <c r="CQ1137" s="111"/>
      <c r="CR1137" s="110"/>
      <c r="CS1137" s="111"/>
      <c r="CT1137" s="112">
        <f t="shared" si="283"/>
        <v>0</v>
      </c>
      <c r="CU1137" s="113"/>
      <c r="CV1137" s="114"/>
      <c r="CW1137" s="115"/>
      <c r="CX1137" s="116"/>
      <c r="CY1137" s="117"/>
      <c r="CZ1137" s="116"/>
      <c r="DA1137" s="113"/>
      <c r="DB1137" s="114"/>
      <c r="DC1137" s="64"/>
      <c r="DD1137" s="118"/>
    </row>
    <row r="1138" spans="1:108" s="119" customFormat="1" ht="22.5" outlineLevel="2">
      <c r="A1138" s="178">
        <v>40513</v>
      </c>
      <c r="B1138" s="164" t="s">
        <v>1666</v>
      </c>
      <c r="C1138" s="164" t="s">
        <v>2401</v>
      </c>
      <c r="D1138" s="166" t="s">
        <v>1262</v>
      </c>
      <c r="E1138" s="163"/>
      <c r="F1138" s="105"/>
      <c r="G1138" s="105"/>
      <c r="H1138" s="105">
        <v>15</v>
      </c>
      <c r="I1138" s="105">
        <v>3</v>
      </c>
      <c r="J1138" s="105"/>
      <c r="K1138" s="105">
        <v>3</v>
      </c>
      <c r="L1138" s="105"/>
      <c r="M1138" s="105"/>
      <c r="N1138" s="105"/>
      <c r="O1138" s="105"/>
      <c r="P1138" s="105"/>
      <c r="Q1138" s="105"/>
      <c r="R1138" s="105"/>
      <c r="S1138" s="105"/>
      <c r="T1138" s="106"/>
      <c r="U1138" s="130"/>
      <c r="V1138" s="1"/>
      <c r="W1138" s="68">
        <f t="shared" si="279"/>
        <v>0</v>
      </c>
      <c r="X1138" s="68">
        <f t="shared" si="280"/>
        <v>0</v>
      </c>
      <c r="Y1138" s="68">
        <f t="shared" si="278"/>
        <v>0</v>
      </c>
      <c r="Z1138" s="68">
        <f t="shared" si="281"/>
        <v>0</v>
      </c>
      <c r="AA1138" s="68"/>
      <c r="AB1138" s="68">
        <v>0</v>
      </c>
      <c r="AC1138" s="69">
        <f t="shared" si="282"/>
        <v>0</v>
      </c>
      <c r="AD1138" s="70">
        <v>0</v>
      </c>
      <c r="AE1138" s="63"/>
      <c r="AF1138" s="72"/>
      <c r="AG1138" s="63"/>
      <c r="AH1138" s="23"/>
      <c r="AI1138" s="60"/>
      <c r="AJ1138" s="124"/>
      <c r="AK1138" s="121" t="s">
        <v>2405</v>
      </c>
      <c r="AL1138" s="107"/>
      <c r="AM1138" s="108"/>
      <c r="AN1138" s="109"/>
      <c r="AO1138" s="108"/>
      <c r="AP1138" s="108"/>
      <c r="AQ1138" s="108"/>
      <c r="AR1138" s="108"/>
      <c r="AS1138" s="108"/>
      <c r="AT1138" s="108"/>
      <c r="AU1138" s="108"/>
      <c r="AV1138" s="108"/>
      <c r="AW1138" s="108"/>
      <c r="AX1138" s="108"/>
      <c r="AY1138" s="108"/>
      <c r="AZ1138" s="108"/>
      <c r="BA1138" s="108"/>
      <c r="BB1138" s="108"/>
      <c r="BC1138" s="108"/>
      <c r="BD1138" s="108"/>
      <c r="BE1138" s="108"/>
      <c r="BF1138" s="108"/>
      <c r="BG1138" s="108"/>
      <c r="BH1138" s="108"/>
      <c r="BI1138" s="108"/>
      <c r="BJ1138" s="108"/>
      <c r="BK1138" s="108"/>
      <c r="BL1138" s="108"/>
      <c r="BM1138" s="108"/>
      <c r="BN1138" s="108"/>
      <c r="BO1138" s="108"/>
      <c r="BP1138" s="108"/>
      <c r="BQ1138" s="108"/>
      <c r="BR1138" s="108"/>
      <c r="BS1138" s="108"/>
      <c r="BT1138" s="108"/>
      <c r="BU1138" s="108"/>
      <c r="BV1138" s="108"/>
      <c r="BW1138" s="108"/>
      <c r="BX1138" s="108"/>
      <c r="BY1138" s="108"/>
      <c r="BZ1138" s="108"/>
      <c r="CA1138" s="108"/>
      <c r="CB1138" s="108"/>
      <c r="CC1138" s="108"/>
      <c r="CD1138" s="108"/>
      <c r="CE1138" s="108"/>
      <c r="CF1138" s="108"/>
      <c r="CG1138" s="108"/>
      <c r="CH1138" s="108"/>
      <c r="CI1138" s="108"/>
      <c r="CJ1138" s="108"/>
      <c r="CK1138" s="108"/>
      <c r="CL1138" s="108"/>
      <c r="CM1138" s="108"/>
      <c r="CN1138" s="110"/>
      <c r="CO1138" s="111"/>
      <c r="CP1138" s="110"/>
      <c r="CQ1138" s="111"/>
      <c r="CR1138" s="110"/>
      <c r="CS1138" s="111"/>
      <c r="CT1138" s="112">
        <f t="shared" si="283"/>
        <v>0</v>
      </c>
      <c r="CU1138" s="113"/>
      <c r="CV1138" s="114"/>
      <c r="CW1138" s="115"/>
      <c r="CX1138" s="116"/>
      <c r="CY1138" s="117"/>
      <c r="CZ1138" s="116"/>
      <c r="DA1138" s="113"/>
      <c r="DB1138" s="114"/>
      <c r="DC1138" s="64"/>
      <c r="DD1138" s="118"/>
    </row>
    <row r="1139" spans="1:108" s="119" customFormat="1" ht="22.5" outlineLevel="2">
      <c r="A1139" s="178">
        <v>40513</v>
      </c>
      <c r="B1139" s="164" t="s">
        <v>1666</v>
      </c>
      <c r="C1139" s="164" t="s">
        <v>2402</v>
      </c>
      <c r="D1139" s="166" t="s">
        <v>1262</v>
      </c>
      <c r="E1139" s="163"/>
      <c r="F1139" s="105"/>
      <c r="G1139" s="105"/>
      <c r="H1139" s="105">
        <v>5</v>
      </c>
      <c r="I1139" s="105">
        <v>1</v>
      </c>
      <c r="J1139" s="105"/>
      <c r="K1139" s="105">
        <v>1</v>
      </c>
      <c r="L1139" s="105"/>
      <c r="M1139" s="105"/>
      <c r="N1139" s="105"/>
      <c r="O1139" s="105"/>
      <c r="P1139" s="105"/>
      <c r="Q1139" s="105"/>
      <c r="R1139" s="105"/>
      <c r="S1139" s="105"/>
      <c r="T1139" s="106"/>
      <c r="U1139" s="130"/>
      <c r="V1139" s="1"/>
      <c r="W1139" s="68">
        <f t="shared" si="279"/>
        <v>0</v>
      </c>
      <c r="X1139" s="68">
        <f t="shared" si="280"/>
        <v>0</v>
      </c>
      <c r="Y1139" s="68">
        <f t="shared" si="278"/>
        <v>0</v>
      </c>
      <c r="Z1139" s="68">
        <f t="shared" si="281"/>
        <v>0</v>
      </c>
      <c r="AA1139" s="68"/>
      <c r="AB1139" s="68">
        <v>0</v>
      </c>
      <c r="AC1139" s="69">
        <f t="shared" si="282"/>
        <v>0</v>
      </c>
      <c r="AD1139" s="70">
        <v>0</v>
      </c>
      <c r="AE1139" s="63"/>
      <c r="AF1139" s="72"/>
      <c r="AG1139" s="63"/>
      <c r="AH1139" s="23"/>
      <c r="AI1139" s="60"/>
      <c r="AJ1139" s="124"/>
      <c r="AK1139" s="121" t="s">
        <v>2405</v>
      </c>
      <c r="AL1139" s="107"/>
      <c r="AM1139" s="108"/>
      <c r="AN1139" s="109"/>
      <c r="AO1139" s="108"/>
      <c r="AP1139" s="108"/>
      <c r="AQ1139" s="108"/>
      <c r="AR1139" s="108"/>
      <c r="AS1139" s="108"/>
      <c r="AT1139" s="108"/>
      <c r="AU1139" s="108"/>
      <c r="AV1139" s="108"/>
      <c r="AW1139" s="108"/>
      <c r="AX1139" s="108"/>
      <c r="AY1139" s="108"/>
      <c r="AZ1139" s="108"/>
      <c r="BA1139" s="108"/>
      <c r="BB1139" s="108"/>
      <c r="BC1139" s="108"/>
      <c r="BD1139" s="108"/>
      <c r="BE1139" s="108"/>
      <c r="BF1139" s="108"/>
      <c r="BG1139" s="108"/>
      <c r="BH1139" s="108"/>
      <c r="BI1139" s="108"/>
      <c r="BJ1139" s="108"/>
      <c r="BK1139" s="108"/>
      <c r="BL1139" s="108"/>
      <c r="BM1139" s="108"/>
      <c r="BN1139" s="108"/>
      <c r="BO1139" s="108"/>
      <c r="BP1139" s="108"/>
      <c r="BQ1139" s="108"/>
      <c r="BR1139" s="108"/>
      <c r="BS1139" s="108"/>
      <c r="BT1139" s="108"/>
      <c r="BU1139" s="108"/>
      <c r="BV1139" s="108"/>
      <c r="BW1139" s="108"/>
      <c r="BX1139" s="108"/>
      <c r="BY1139" s="108"/>
      <c r="BZ1139" s="108"/>
      <c r="CA1139" s="108"/>
      <c r="CB1139" s="108"/>
      <c r="CC1139" s="108"/>
      <c r="CD1139" s="108"/>
      <c r="CE1139" s="108"/>
      <c r="CF1139" s="108"/>
      <c r="CG1139" s="108"/>
      <c r="CH1139" s="108"/>
      <c r="CI1139" s="108"/>
      <c r="CJ1139" s="108"/>
      <c r="CK1139" s="108"/>
      <c r="CL1139" s="108"/>
      <c r="CM1139" s="108"/>
      <c r="CN1139" s="110"/>
      <c r="CO1139" s="111"/>
      <c r="CP1139" s="110"/>
      <c r="CQ1139" s="111"/>
      <c r="CR1139" s="110"/>
      <c r="CS1139" s="111"/>
      <c r="CT1139" s="112">
        <f t="shared" si="283"/>
        <v>0</v>
      </c>
      <c r="CU1139" s="113"/>
      <c r="CV1139" s="114"/>
      <c r="CW1139" s="115"/>
      <c r="CX1139" s="116"/>
      <c r="CY1139" s="117"/>
      <c r="CZ1139" s="116"/>
      <c r="DA1139" s="113"/>
      <c r="DB1139" s="114"/>
      <c r="DC1139" s="64"/>
      <c r="DD1139" s="118"/>
    </row>
    <row r="1140" spans="1:108" s="119" customFormat="1" ht="24" outlineLevel="2">
      <c r="A1140" s="178">
        <v>40514</v>
      </c>
      <c r="B1140" s="164" t="s">
        <v>1666</v>
      </c>
      <c r="C1140" s="164" t="s">
        <v>2172</v>
      </c>
      <c r="D1140" s="166" t="s">
        <v>435</v>
      </c>
      <c r="E1140" s="163">
        <v>1</v>
      </c>
      <c r="F1140" s="105"/>
      <c r="G1140" s="105"/>
      <c r="H1140" s="105">
        <v>5</v>
      </c>
      <c r="I1140" s="105">
        <v>1</v>
      </c>
      <c r="J1140" s="105"/>
      <c r="K1140" s="105"/>
      <c r="L1140" s="105"/>
      <c r="M1140" s="105"/>
      <c r="N1140" s="105"/>
      <c r="O1140" s="105"/>
      <c r="P1140" s="105"/>
      <c r="Q1140" s="105"/>
      <c r="R1140" s="105"/>
      <c r="S1140" s="105"/>
      <c r="T1140" s="106"/>
      <c r="U1140" s="130"/>
      <c r="V1140" s="1"/>
      <c r="W1140" s="68">
        <f t="shared" si="279"/>
        <v>0</v>
      </c>
      <c r="X1140" s="68">
        <f t="shared" si="280"/>
        <v>0</v>
      </c>
      <c r="Y1140" s="68">
        <f t="shared" si="278"/>
        <v>0</v>
      </c>
      <c r="Z1140" s="68">
        <f t="shared" si="281"/>
        <v>0</v>
      </c>
      <c r="AA1140" s="68"/>
      <c r="AB1140" s="68">
        <v>0</v>
      </c>
      <c r="AC1140" s="69">
        <f t="shared" si="282"/>
        <v>0</v>
      </c>
      <c r="AD1140" s="70">
        <v>0</v>
      </c>
      <c r="AE1140" s="63"/>
      <c r="AF1140" s="72"/>
      <c r="AG1140" s="63"/>
      <c r="AH1140" s="23"/>
      <c r="AI1140" s="60"/>
      <c r="AJ1140" s="124"/>
      <c r="AK1140" s="121" t="s">
        <v>2173</v>
      </c>
      <c r="AL1140" s="107"/>
      <c r="AM1140" s="108"/>
      <c r="AN1140" s="109"/>
      <c r="AO1140" s="108"/>
      <c r="AP1140" s="108"/>
      <c r="AQ1140" s="108"/>
      <c r="AR1140" s="108"/>
      <c r="AS1140" s="108"/>
      <c r="AT1140" s="108"/>
      <c r="AU1140" s="108"/>
      <c r="AV1140" s="108"/>
      <c r="AW1140" s="108"/>
      <c r="AX1140" s="108"/>
      <c r="AY1140" s="108"/>
      <c r="AZ1140" s="108"/>
      <c r="BA1140" s="108"/>
      <c r="BB1140" s="108"/>
      <c r="BC1140" s="108"/>
      <c r="BD1140" s="108"/>
      <c r="BE1140" s="108"/>
      <c r="BF1140" s="108"/>
      <c r="BG1140" s="108"/>
      <c r="BH1140" s="108"/>
      <c r="BI1140" s="108"/>
      <c r="BJ1140" s="108"/>
      <c r="BK1140" s="108"/>
      <c r="BL1140" s="108"/>
      <c r="BM1140" s="108"/>
      <c r="BN1140" s="108"/>
      <c r="BO1140" s="108"/>
      <c r="BP1140" s="108"/>
      <c r="BQ1140" s="108"/>
      <c r="BR1140" s="108"/>
      <c r="BS1140" s="108"/>
      <c r="BT1140" s="108"/>
      <c r="BU1140" s="108"/>
      <c r="BV1140" s="108"/>
      <c r="BW1140" s="108"/>
      <c r="BX1140" s="108"/>
      <c r="BY1140" s="108"/>
      <c r="BZ1140" s="108"/>
      <c r="CA1140" s="108"/>
      <c r="CB1140" s="108"/>
      <c r="CC1140" s="108"/>
      <c r="CD1140" s="108"/>
      <c r="CE1140" s="108"/>
      <c r="CF1140" s="108"/>
      <c r="CG1140" s="108"/>
      <c r="CH1140" s="108"/>
      <c r="CI1140" s="108"/>
      <c r="CJ1140" s="108"/>
      <c r="CK1140" s="108"/>
      <c r="CL1140" s="108"/>
      <c r="CM1140" s="108"/>
      <c r="CN1140" s="110"/>
      <c r="CO1140" s="111"/>
      <c r="CP1140" s="110"/>
      <c r="CQ1140" s="111"/>
      <c r="CR1140" s="110"/>
      <c r="CS1140" s="111"/>
      <c r="CT1140" s="112">
        <f t="shared" si="283"/>
        <v>0</v>
      </c>
      <c r="CU1140" s="113"/>
      <c r="CV1140" s="114"/>
      <c r="CW1140" s="115"/>
      <c r="CX1140" s="116"/>
      <c r="CY1140" s="117"/>
      <c r="CZ1140" s="116"/>
      <c r="DA1140" s="113"/>
      <c r="DB1140" s="114"/>
      <c r="DC1140" s="64"/>
      <c r="DD1140" s="118"/>
    </row>
    <row r="1141" spans="1:108" s="119" customFormat="1" ht="22.5" outlineLevel="2">
      <c r="A1141" s="178">
        <v>40514</v>
      </c>
      <c r="B1141" s="164" t="s">
        <v>1666</v>
      </c>
      <c r="C1141" s="164" t="s">
        <v>2172</v>
      </c>
      <c r="D1141" s="166" t="s">
        <v>1182</v>
      </c>
      <c r="E1141" s="163">
        <v>1</v>
      </c>
      <c r="F1141" s="105"/>
      <c r="G1141" s="105"/>
      <c r="H1141" s="105">
        <v>10614</v>
      </c>
      <c r="I1141" s="105">
        <v>2122</v>
      </c>
      <c r="J1141" s="105">
        <v>4</v>
      </c>
      <c r="K1141" s="105"/>
      <c r="L1141" s="105"/>
      <c r="M1141" s="105"/>
      <c r="N1141" s="105"/>
      <c r="O1141" s="105"/>
      <c r="P1141" s="105"/>
      <c r="Q1141" s="105"/>
      <c r="R1141" s="105"/>
      <c r="S1141" s="105"/>
      <c r="T1141" s="106"/>
      <c r="U1141" s="130"/>
      <c r="V1141" s="1"/>
      <c r="W1141" s="68">
        <f t="shared" si="279"/>
        <v>0</v>
      </c>
      <c r="X1141" s="68">
        <f t="shared" si="280"/>
        <v>0</v>
      </c>
      <c r="Y1141" s="68">
        <f t="shared" si="278"/>
        <v>0</v>
      </c>
      <c r="Z1141" s="68">
        <f t="shared" si="281"/>
        <v>0</v>
      </c>
      <c r="AA1141" s="68"/>
      <c r="AB1141" s="68">
        <v>0</v>
      </c>
      <c r="AC1141" s="69">
        <f t="shared" si="282"/>
        <v>0</v>
      </c>
      <c r="AD1141" s="70">
        <v>0</v>
      </c>
      <c r="AE1141" s="63"/>
      <c r="AF1141" s="72"/>
      <c r="AG1141" s="63"/>
      <c r="AH1141" s="23"/>
      <c r="AI1141" s="60"/>
      <c r="AJ1141" s="124"/>
      <c r="AK1141" s="121" t="s">
        <v>2174</v>
      </c>
      <c r="AL1141" s="107"/>
      <c r="AM1141" s="108"/>
      <c r="AN1141" s="109"/>
      <c r="AO1141" s="108"/>
      <c r="AP1141" s="108"/>
      <c r="AQ1141" s="108"/>
      <c r="AR1141" s="108"/>
      <c r="AS1141" s="108"/>
      <c r="AT1141" s="108"/>
      <c r="AU1141" s="108"/>
      <c r="AV1141" s="108"/>
      <c r="AW1141" s="108"/>
      <c r="AX1141" s="108"/>
      <c r="AY1141" s="108"/>
      <c r="AZ1141" s="108"/>
      <c r="BA1141" s="108"/>
      <c r="BB1141" s="108"/>
      <c r="BC1141" s="108"/>
      <c r="BD1141" s="108"/>
      <c r="BE1141" s="108"/>
      <c r="BF1141" s="108"/>
      <c r="BG1141" s="108"/>
      <c r="BH1141" s="108"/>
      <c r="BI1141" s="108"/>
      <c r="BJ1141" s="108"/>
      <c r="BK1141" s="108"/>
      <c r="BL1141" s="108"/>
      <c r="BM1141" s="108"/>
      <c r="BN1141" s="108"/>
      <c r="BO1141" s="108"/>
      <c r="BP1141" s="108"/>
      <c r="BQ1141" s="108"/>
      <c r="BR1141" s="108"/>
      <c r="BS1141" s="108"/>
      <c r="BT1141" s="108"/>
      <c r="BU1141" s="108"/>
      <c r="BV1141" s="108"/>
      <c r="BW1141" s="108"/>
      <c r="BX1141" s="108"/>
      <c r="BY1141" s="108"/>
      <c r="BZ1141" s="108"/>
      <c r="CA1141" s="108"/>
      <c r="CB1141" s="108"/>
      <c r="CC1141" s="108"/>
      <c r="CD1141" s="108"/>
      <c r="CE1141" s="108"/>
      <c r="CF1141" s="108"/>
      <c r="CG1141" s="108"/>
      <c r="CH1141" s="108"/>
      <c r="CI1141" s="108"/>
      <c r="CJ1141" s="108"/>
      <c r="CK1141" s="108"/>
      <c r="CL1141" s="108"/>
      <c r="CM1141" s="108"/>
      <c r="CN1141" s="110"/>
      <c r="CO1141" s="111"/>
      <c r="CP1141" s="110"/>
      <c r="CQ1141" s="111"/>
      <c r="CR1141" s="110"/>
      <c r="CS1141" s="111"/>
      <c r="CT1141" s="112">
        <f t="shared" si="283"/>
        <v>0</v>
      </c>
      <c r="CU1141" s="113"/>
      <c r="CV1141" s="114"/>
      <c r="CW1141" s="115"/>
      <c r="CX1141" s="116"/>
      <c r="CY1141" s="117"/>
      <c r="CZ1141" s="116"/>
      <c r="DA1141" s="113"/>
      <c r="DB1141" s="114"/>
      <c r="DC1141" s="64"/>
      <c r="DD1141" s="118"/>
    </row>
    <row r="1142" spans="1:108" s="119" customFormat="1" ht="24" outlineLevel="2">
      <c r="A1142" s="178">
        <v>40514</v>
      </c>
      <c r="B1142" s="164" t="s">
        <v>1666</v>
      </c>
      <c r="C1142" s="164" t="s">
        <v>1486</v>
      </c>
      <c r="D1142" s="166" t="s">
        <v>1182</v>
      </c>
      <c r="E1142" s="163">
        <v>1</v>
      </c>
      <c r="F1142" s="105">
        <v>4</v>
      </c>
      <c r="G1142" s="105"/>
      <c r="H1142" s="105"/>
      <c r="I1142" s="105"/>
      <c r="J1142" s="105"/>
      <c r="K1142" s="105"/>
      <c r="L1142" s="105">
        <v>1</v>
      </c>
      <c r="M1142" s="105"/>
      <c r="N1142" s="105"/>
      <c r="O1142" s="105"/>
      <c r="P1142" s="105"/>
      <c r="Q1142" s="105"/>
      <c r="R1142" s="105"/>
      <c r="S1142" s="105"/>
      <c r="T1142" s="106"/>
      <c r="U1142" s="130" t="s">
        <v>2171</v>
      </c>
      <c r="V1142" s="1"/>
      <c r="W1142" s="68">
        <f t="shared" si="279"/>
        <v>0</v>
      </c>
      <c r="X1142" s="68">
        <f t="shared" si="280"/>
        <v>0</v>
      </c>
      <c r="Y1142" s="68">
        <f t="shared" si="278"/>
        <v>0</v>
      </c>
      <c r="Z1142" s="68">
        <f t="shared" si="281"/>
        <v>0</v>
      </c>
      <c r="AA1142" s="68"/>
      <c r="AB1142" s="68">
        <v>0</v>
      </c>
      <c r="AC1142" s="69">
        <f t="shared" si="282"/>
        <v>0</v>
      </c>
      <c r="AD1142" s="70">
        <v>0</v>
      </c>
      <c r="AE1142" s="63"/>
      <c r="AF1142" s="72"/>
      <c r="AG1142" s="63"/>
      <c r="AH1142" s="23"/>
      <c r="AI1142" s="60"/>
      <c r="AJ1142" s="124"/>
      <c r="AK1142" s="121" t="s">
        <v>2170</v>
      </c>
      <c r="AL1142" s="107"/>
      <c r="AM1142" s="108"/>
      <c r="AN1142" s="109"/>
      <c r="AO1142" s="108"/>
      <c r="AP1142" s="108"/>
      <c r="AQ1142" s="108"/>
      <c r="AR1142" s="108"/>
      <c r="AS1142" s="108"/>
      <c r="AT1142" s="108"/>
      <c r="AU1142" s="108"/>
      <c r="AV1142" s="108"/>
      <c r="AW1142" s="108"/>
      <c r="AX1142" s="108"/>
      <c r="AY1142" s="108"/>
      <c r="AZ1142" s="108"/>
      <c r="BA1142" s="108"/>
      <c r="BB1142" s="108"/>
      <c r="BC1142" s="108"/>
      <c r="BD1142" s="108"/>
      <c r="BE1142" s="108"/>
      <c r="BF1142" s="108"/>
      <c r="BG1142" s="108"/>
      <c r="BH1142" s="108"/>
      <c r="BI1142" s="108"/>
      <c r="BJ1142" s="108"/>
      <c r="BK1142" s="108"/>
      <c r="BL1142" s="108"/>
      <c r="BM1142" s="108"/>
      <c r="BN1142" s="108"/>
      <c r="BO1142" s="108"/>
      <c r="BP1142" s="108"/>
      <c r="BQ1142" s="108"/>
      <c r="BR1142" s="108"/>
      <c r="BS1142" s="108"/>
      <c r="BT1142" s="108"/>
      <c r="BU1142" s="108"/>
      <c r="BV1142" s="108"/>
      <c r="BW1142" s="108"/>
      <c r="BX1142" s="108"/>
      <c r="BY1142" s="108"/>
      <c r="BZ1142" s="108"/>
      <c r="CA1142" s="108"/>
      <c r="CB1142" s="108"/>
      <c r="CC1142" s="108"/>
      <c r="CD1142" s="108"/>
      <c r="CE1142" s="108"/>
      <c r="CF1142" s="108"/>
      <c r="CG1142" s="108"/>
      <c r="CH1142" s="108"/>
      <c r="CI1142" s="108"/>
      <c r="CJ1142" s="108"/>
      <c r="CK1142" s="108"/>
      <c r="CL1142" s="108"/>
      <c r="CM1142" s="108"/>
      <c r="CN1142" s="110"/>
      <c r="CO1142" s="111"/>
      <c r="CP1142" s="110"/>
      <c r="CQ1142" s="111"/>
      <c r="CR1142" s="110"/>
      <c r="CS1142" s="111"/>
      <c r="CT1142" s="112">
        <f t="shared" si="283"/>
        <v>0</v>
      </c>
      <c r="CU1142" s="113"/>
      <c r="CV1142" s="114"/>
      <c r="CW1142" s="115"/>
      <c r="CX1142" s="116"/>
      <c r="CY1142" s="117"/>
      <c r="CZ1142" s="116"/>
      <c r="DA1142" s="113"/>
      <c r="DB1142" s="114"/>
      <c r="DC1142" s="64"/>
      <c r="DD1142" s="118"/>
    </row>
    <row r="1143" spans="1:108" s="119" customFormat="1" ht="48" outlineLevel="2">
      <c r="A1143" s="178">
        <v>40514</v>
      </c>
      <c r="B1143" s="164" t="s">
        <v>1666</v>
      </c>
      <c r="C1143" s="164" t="s">
        <v>1387</v>
      </c>
      <c r="D1143" s="166" t="s">
        <v>1182</v>
      </c>
      <c r="E1143" s="163"/>
      <c r="F1143" s="105"/>
      <c r="G1143" s="105"/>
      <c r="H1143" s="105">
        <v>740</v>
      </c>
      <c r="I1143" s="105">
        <v>148</v>
      </c>
      <c r="J1143" s="105">
        <v>4</v>
      </c>
      <c r="K1143" s="105">
        <v>144</v>
      </c>
      <c r="L1143" s="105"/>
      <c r="M1143" s="105"/>
      <c r="N1143" s="105"/>
      <c r="O1143" s="105"/>
      <c r="P1143" s="105"/>
      <c r="Q1143" s="105"/>
      <c r="R1143" s="105"/>
      <c r="S1143" s="105"/>
      <c r="T1143" s="106"/>
      <c r="U1143" s="130"/>
      <c r="V1143" s="1"/>
      <c r="W1143" s="68">
        <f t="shared" si="279"/>
        <v>0</v>
      </c>
      <c r="X1143" s="68">
        <f t="shared" si="280"/>
        <v>0</v>
      </c>
      <c r="Y1143" s="68">
        <f t="shared" si="278"/>
        <v>0</v>
      </c>
      <c r="Z1143" s="68">
        <f t="shared" si="281"/>
        <v>0</v>
      </c>
      <c r="AA1143" s="68"/>
      <c r="AB1143" s="68">
        <v>0</v>
      </c>
      <c r="AC1143" s="69">
        <f t="shared" si="282"/>
        <v>0</v>
      </c>
      <c r="AD1143" s="70">
        <v>0</v>
      </c>
      <c r="AE1143" s="63"/>
      <c r="AF1143" s="72"/>
      <c r="AG1143" s="63"/>
      <c r="AH1143" s="23"/>
      <c r="AI1143" s="60"/>
      <c r="AJ1143" s="124"/>
      <c r="AK1143" s="121" t="s">
        <v>2205</v>
      </c>
      <c r="AL1143" s="107"/>
      <c r="AM1143" s="108"/>
      <c r="AN1143" s="109"/>
      <c r="AO1143" s="108"/>
      <c r="AP1143" s="108"/>
      <c r="AQ1143" s="108"/>
      <c r="AR1143" s="108"/>
      <c r="AS1143" s="108"/>
      <c r="AT1143" s="108"/>
      <c r="AU1143" s="108"/>
      <c r="AV1143" s="108"/>
      <c r="AW1143" s="108"/>
      <c r="AX1143" s="108"/>
      <c r="AY1143" s="108"/>
      <c r="AZ1143" s="108"/>
      <c r="BA1143" s="108"/>
      <c r="BB1143" s="108"/>
      <c r="BC1143" s="108"/>
      <c r="BD1143" s="108"/>
      <c r="BE1143" s="108"/>
      <c r="BF1143" s="108"/>
      <c r="BG1143" s="108"/>
      <c r="BH1143" s="108"/>
      <c r="BI1143" s="108"/>
      <c r="BJ1143" s="108"/>
      <c r="BK1143" s="108"/>
      <c r="BL1143" s="108"/>
      <c r="BM1143" s="108"/>
      <c r="BN1143" s="108"/>
      <c r="BO1143" s="108"/>
      <c r="BP1143" s="108"/>
      <c r="BQ1143" s="108"/>
      <c r="BR1143" s="108"/>
      <c r="BS1143" s="108"/>
      <c r="BT1143" s="108"/>
      <c r="BU1143" s="108"/>
      <c r="BV1143" s="108"/>
      <c r="BW1143" s="108"/>
      <c r="BX1143" s="108"/>
      <c r="BY1143" s="108"/>
      <c r="BZ1143" s="108"/>
      <c r="CA1143" s="108"/>
      <c r="CB1143" s="108"/>
      <c r="CC1143" s="108"/>
      <c r="CD1143" s="108"/>
      <c r="CE1143" s="108"/>
      <c r="CF1143" s="108"/>
      <c r="CG1143" s="108"/>
      <c r="CH1143" s="108"/>
      <c r="CI1143" s="108"/>
      <c r="CJ1143" s="108"/>
      <c r="CK1143" s="108"/>
      <c r="CL1143" s="108"/>
      <c r="CM1143" s="108"/>
      <c r="CN1143" s="110"/>
      <c r="CO1143" s="111"/>
      <c r="CP1143" s="110"/>
      <c r="CQ1143" s="111"/>
      <c r="CR1143" s="110"/>
      <c r="CS1143" s="111"/>
      <c r="CT1143" s="112">
        <f t="shared" si="283"/>
        <v>0</v>
      </c>
      <c r="CU1143" s="113"/>
      <c r="CV1143" s="114"/>
      <c r="CW1143" s="115"/>
      <c r="CX1143" s="116"/>
      <c r="CY1143" s="117"/>
      <c r="CZ1143" s="116"/>
      <c r="DA1143" s="113"/>
      <c r="DB1143" s="114"/>
      <c r="DC1143" s="64"/>
      <c r="DD1143" s="118"/>
    </row>
    <row r="1144" spans="1:108" s="119" customFormat="1" ht="24" outlineLevel="2">
      <c r="A1144" s="178">
        <v>40514</v>
      </c>
      <c r="B1144" s="164" t="s">
        <v>1666</v>
      </c>
      <c r="C1144" s="164" t="s">
        <v>487</v>
      </c>
      <c r="D1144" s="166" t="s">
        <v>1182</v>
      </c>
      <c r="E1144" s="163"/>
      <c r="F1144" s="105"/>
      <c r="G1144" s="105"/>
      <c r="H1144" s="105">
        <v>75</v>
      </c>
      <c r="I1144" s="105">
        <v>15</v>
      </c>
      <c r="J1144" s="105"/>
      <c r="K1144" s="105"/>
      <c r="L1144" s="105"/>
      <c r="M1144" s="105"/>
      <c r="N1144" s="105"/>
      <c r="O1144" s="105"/>
      <c r="P1144" s="105"/>
      <c r="Q1144" s="105"/>
      <c r="R1144" s="105"/>
      <c r="S1144" s="105"/>
      <c r="T1144" s="106"/>
      <c r="U1144" s="130"/>
      <c r="V1144" s="1"/>
      <c r="W1144" s="68">
        <f t="shared" si="279"/>
        <v>0</v>
      </c>
      <c r="X1144" s="68">
        <f t="shared" si="280"/>
        <v>0</v>
      </c>
      <c r="Y1144" s="68">
        <f t="shared" si="278"/>
        <v>0</v>
      </c>
      <c r="Z1144" s="68">
        <f t="shared" si="281"/>
        <v>0</v>
      </c>
      <c r="AA1144" s="68"/>
      <c r="AB1144" s="68">
        <v>0</v>
      </c>
      <c r="AC1144" s="69">
        <f t="shared" si="282"/>
        <v>0</v>
      </c>
      <c r="AD1144" s="70">
        <v>0</v>
      </c>
      <c r="AE1144" s="63"/>
      <c r="AF1144" s="72"/>
      <c r="AG1144" s="63"/>
      <c r="AH1144" s="23"/>
      <c r="AI1144" s="60"/>
      <c r="AJ1144" s="124"/>
      <c r="AK1144" s="121" t="s">
        <v>2175</v>
      </c>
      <c r="AL1144" s="107"/>
      <c r="AM1144" s="108"/>
      <c r="AN1144" s="109"/>
      <c r="AO1144" s="108"/>
      <c r="AP1144" s="108"/>
      <c r="AQ1144" s="108"/>
      <c r="AR1144" s="108"/>
      <c r="AS1144" s="108"/>
      <c r="AT1144" s="108"/>
      <c r="AU1144" s="108"/>
      <c r="AV1144" s="108"/>
      <c r="AW1144" s="108"/>
      <c r="AX1144" s="108"/>
      <c r="AY1144" s="108"/>
      <c r="AZ1144" s="108"/>
      <c r="BA1144" s="108"/>
      <c r="BB1144" s="108"/>
      <c r="BC1144" s="108"/>
      <c r="BD1144" s="108"/>
      <c r="BE1144" s="108"/>
      <c r="BF1144" s="108"/>
      <c r="BG1144" s="108"/>
      <c r="BH1144" s="108"/>
      <c r="BI1144" s="108"/>
      <c r="BJ1144" s="108"/>
      <c r="BK1144" s="108"/>
      <c r="BL1144" s="108"/>
      <c r="BM1144" s="108"/>
      <c r="BN1144" s="108"/>
      <c r="BO1144" s="108"/>
      <c r="BP1144" s="108"/>
      <c r="BQ1144" s="108"/>
      <c r="BR1144" s="108"/>
      <c r="BS1144" s="108"/>
      <c r="BT1144" s="108"/>
      <c r="BU1144" s="108"/>
      <c r="BV1144" s="108"/>
      <c r="BW1144" s="108"/>
      <c r="BX1144" s="108"/>
      <c r="BY1144" s="108"/>
      <c r="BZ1144" s="108"/>
      <c r="CA1144" s="108"/>
      <c r="CB1144" s="108"/>
      <c r="CC1144" s="108"/>
      <c r="CD1144" s="108"/>
      <c r="CE1144" s="108"/>
      <c r="CF1144" s="108"/>
      <c r="CG1144" s="108"/>
      <c r="CH1144" s="108"/>
      <c r="CI1144" s="108"/>
      <c r="CJ1144" s="108"/>
      <c r="CK1144" s="108"/>
      <c r="CL1144" s="108"/>
      <c r="CM1144" s="108"/>
      <c r="CN1144" s="110"/>
      <c r="CO1144" s="111"/>
      <c r="CP1144" s="110"/>
      <c r="CQ1144" s="111"/>
      <c r="CR1144" s="110"/>
      <c r="CS1144" s="111"/>
      <c r="CT1144" s="112">
        <f t="shared" si="283"/>
        <v>0</v>
      </c>
      <c r="CU1144" s="113"/>
      <c r="CV1144" s="114"/>
      <c r="CW1144" s="115"/>
      <c r="CX1144" s="116"/>
      <c r="CY1144" s="117"/>
      <c r="CZ1144" s="116"/>
      <c r="DA1144" s="113"/>
      <c r="DB1144" s="114"/>
      <c r="DC1144" s="64"/>
      <c r="DD1144" s="118"/>
    </row>
    <row r="1145" spans="1:108" s="119" customFormat="1" ht="48" outlineLevel="2">
      <c r="A1145" s="178">
        <v>40514</v>
      </c>
      <c r="B1145" s="164" t="s">
        <v>1666</v>
      </c>
      <c r="C1145" s="164" t="s">
        <v>1388</v>
      </c>
      <c r="D1145" s="166" t="s">
        <v>1262</v>
      </c>
      <c r="E1145" s="163"/>
      <c r="F1145" s="105">
        <v>1</v>
      </c>
      <c r="G1145" s="105"/>
      <c r="H1145" s="105">
        <v>1455</v>
      </c>
      <c r="I1145" s="105">
        <v>291</v>
      </c>
      <c r="J1145" s="105">
        <v>29</v>
      </c>
      <c r="K1145" s="105">
        <v>63</v>
      </c>
      <c r="L1145" s="105"/>
      <c r="M1145" s="105"/>
      <c r="N1145" s="105"/>
      <c r="O1145" s="105"/>
      <c r="P1145" s="105"/>
      <c r="Q1145" s="105"/>
      <c r="R1145" s="105"/>
      <c r="S1145" s="105"/>
      <c r="T1145" s="106"/>
      <c r="U1145" s="130"/>
      <c r="V1145" s="1"/>
      <c r="W1145" s="68">
        <f t="shared" si="279"/>
        <v>0</v>
      </c>
      <c r="X1145" s="68">
        <f t="shared" si="280"/>
        <v>0</v>
      </c>
      <c r="Y1145" s="68">
        <f t="shared" si="278"/>
        <v>0</v>
      </c>
      <c r="Z1145" s="68">
        <f t="shared" si="281"/>
        <v>0</v>
      </c>
      <c r="AA1145" s="68"/>
      <c r="AB1145" s="68">
        <v>0</v>
      </c>
      <c r="AC1145" s="69">
        <f t="shared" si="282"/>
        <v>0</v>
      </c>
      <c r="AD1145" s="70">
        <v>0</v>
      </c>
      <c r="AE1145" s="63"/>
      <c r="AF1145" s="72"/>
      <c r="AG1145" s="63"/>
      <c r="AH1145" s="23"/>
      <c r="AI1145" s="60"/>
      <c r="AJ1145" s="124"/>
      <c r="AK1145" s="121" t="s">
        <v>2207</v>
      </c>
      <c r="AL1145" s="107"/>
      <c r="AM1145" s="108"/>
      <c r="AN1145" s="109"/>
      <c r="AO1145" s="108"/>
      <c r="AP1145" s="108"/>
      <c r="AQ1145" s="108"/>
      <c r="AR1145" s="108"/>
      <c r="AS1145" s="108"/>
      <c r="AT1145" s="108"/>
      <c r="AU1145" s="108"/>
      <c r="AV1145" s="108"/>
      <c r="AW1145" s="108"/>
      <c r="AX1145" s="108"/>
      <c r="AY1145" s="108"/>
      <c r="AZ1145" s="108"/>
      <c r="BA1145" s="108"/>
      <c r="BB1145" s="108"/>
      <c r="BC1145" s="108"/>
      <c r="BD1145" s="108"/>
      <c r="BE1145" s="108"/>
      <c r="BF1145" s="108"/>
      <c r="BG1145" s="108"/>
      <c r="BH1145" s="108"/>
      <c r="BI1145" s="108"/>
      <c r="BJ1145" s="108"/>
      <c r="BK1145" s="108"/>
      <c r="BL1145" s="108"/>
      <c r="BM1145" s="108"/>
      <c r="BN1145" s="108"/>
      <c r="BO1145" s="108"/>
      <c r="BP1145" s="108"/>
      <c r="BQ1145" s="108"/>
      <c r="BR1145" s="108"/>
      <c r="BS1145" s="108"/>
      <c r="BT1145" s="108"/>
      <c r="BU1145" s="108"/>
      <c r="BV1145" s="108"/>
      <c r="BW1145" s="108"/>
      <c r="BX1145" s="108"/>
      <c r="BY1145" s="108"/>
      <c r="BZ1145" s="108"/>
      <c r="CA1145" s="108"/>
      <c r="CB1145" s="108"/>
      <c r="CC1145" s="108"/>
      <c r="CD1145" s="108"/>
      <c r="CE1145" s="108"/>
      <c r="CF1145" s="108"/>
      <c r="CG1145" s="108"/>
      <c r="CH1145" s="108"/>
      <c r="CI1145" s="108"/>
      <c r="CJ1145" s="108"/>
      <c r="CK1145" s="108"/>
      <c r="CL1145" s="108"/>
      <c r="CM1145" s="108"/>
      <c r="CN1145" s="110"/>
      <c r="CO1145" s="111"/>
      <c r="CP1145" s="110"/>
      <c r="CQ1145" s="111"/>
      <c r="CR1145" s="110"/>
      <c r="CS1145" s="111"/>
      <c r="CT1145" s="112">
        <f t="shared" si="283"/>
        <v>0</v>
      </c>
      <c r="CU1145" s="113"/>
      <c r="CV1145" s="114"/>
      <c r="CW1145" s="115"/>
      <c r="CX1145" s="116"/>
      <c r="CY1145" s="117"/>
      <c r="CZ1145" s="116"/>
      <c r="DA1145" s="113"/>
      <c r="DB1145" s="114"/>
      <c r="DC1145" s="64"/>
      <c r="DD1145" s="118"/>
    </row>
    <row r="1146" spans="1:108" s="119" customFormat="1" ht="22.5" outlineLevel="2">
      <c r="A1146" s="178">
        <v>40515</v>
      </c>
      <c r="B1146" s="164" t="s">
        <v>1666</v>
      </c>
      <c r="C1146" s="164" t="s">
        <v>1738</v>
      </c>
      <c r="D1146" s="166" t="s">
        <v>1182</v>
      </c>
      <c r="E1146" s="163"/>
      <c r="F1146" s="105"/>
      <c r="G1146" s="105"/>
      <c r="H1146" s="105">
        <v>20</v>
      </c>
      <c r="I1146" s="105">
        <v>4</v>
      </c>
      <c r="J1146" s="105">
        <v>2</v>
      </c>
      <c r="K1146" s="105">
        <v>2</v>
      </c>
      <c r="L1146" s="105"/>
      <c r="M1146" s="105"/>
      <c r="N1146" s="105"/>
      <c r="O1146" s="105"/>
      <c r="P1146" s="105"/>
      <c r="Q1146" s="105"/>
      <c r="R1146" s="105"/>
      <c r="S1146" s="105"/>
      <c r="T1146" s="106"/>
      <c r="U1146" s="130"/>
      <c r="V1146" s="1"/>
      <c r="W1146" s="68">
        <f t="shared" si="279"/>
        <v>0</v>
      </c>
      <c r="X1146" s="68">
        <f t="shared" si="280"/>
        <v>0</v>
      </c>
      <c r="Y1146" s="68">
        <f t="shared" si="278"/>
        <v>0</v>
      </c>
      <c r="Z1146" s="68">
        <f t="shared" si="281"/>
        <v>0</v>
      </c>
      <c r="AA1146" s="68"/>
      <c r="AB1146" s="68">
        <v>0</v>
      </c>
      <c r="AC1146" s="69">
        <f t="shared" si="282"/>
        <v>0</v>
      </c>
      <c r="AD1146" s="70">
        <v>0</v>
      </c>
      <c r="AE1146" s="63"/>
      <c r="AF1146" s="72"/>
      <c r="AG1146" s="63"/>
      <c r="AH1146" s="23"/>
      <c r="AI1146" s="60"/>
      <c r="AJ1146" s="124"/>
      <c r="AK1146" s="121" t="s">
        <v>2199</v>
      </c>
      <c r="AL1146" s="107"/>
      <c r="AM1146" s="108"/>
      <c r="AN1146" s="109"/>
      <c r="AO1146" s="108"/>
      <c r="AP1146" s="108"/>
      <c r="AQ1146" s="108"/>
      <c r="AR1146" s="108"/>
      <c r="AS1146" s="108"/>
      <c r="AT1146" s="108"/>
      <c r="AU1146" s="108"/>
      <c r="AV1146" s="108"/>
      <c r="AW1146" s="108"/>
      <c r="AX1146" s="108"/>
      <c r="AY1146" s="108"/>
      <c r="AZ1146" s="108"/>
      <c r="BA1146" s="108"/>
      <c r="BB1146" s="108"/>
      <c r="BC1146" s="108"/>
      <c r="BD1146" s="108"/>
      <c r="BE1146" s="108"/>
      <c r="BF1146" s="108"/>
      <c r="BG1146" s="108"/>
      <c r="BH1146" s="108"/>
      <c r="BI1146" s="108"/>
      <c r="BJ1146" s="108"/>
      <c r="BK1146" s="108"/>
      <c r="BL1146" s="108"/>
      <c r="BM1146" s="108"/>
      <c r="BN1146" s="108"/>
      <c r="BO1146" s="108"/>
      <c r="BP1146" s="108"/>
      <c r="BQ1146" s="108"/>
      <c r="BR1146" s="108"/>
      <c r="BS1146" s="108"/>
      <c r="BT1146" s="108"/>
      <c r="BU1146" s="108"/>
      <c r="BV1146" s="108"/>
      <c r="BW1146" s="108"/>
      <c r="BX1146" s="108"/>
      <c r="BY1146" s="108"/>
      <c r="BZ1146" s="108"/>
      <c r="CA1146" s="108"/>
      <c r="CB1146" s="108"/>
      <c r="CC1146" s="108"/>
      <c r="CD1146" s="108"/>
      <c r="CE1146" s="108"/>
      <c r="CF1146" s="108"/>
      <c r="CG1146" s="108"/>
      <c r="CH1146" s="108"/>
      <c r="CI1146" s="108"/>
      <c r="CJ1146" s="108"/>
      <c r="CK1146" s="108"/>
      <c r="CL1146" s="108"/>
      <c r="CM1146" s="108"/>
      <c r="CN1146" s="110"/>
      <c r="CO1146" s="111"/>
      <c r="CP1146" s="110"/>
      <c r="CQ1146" s="111"/>
      <c r="CR1146" s="110"/>
      <c r="CS1146" s="111"/>
      <c r="CT1146" s="112">
        <f t="shared" si="283"/>
        <v>0</v>
      </c>
      <c r="CU1146" s="113"/>
      <c r="CV1146" s="114"/>
      <c r="CW1146" s="115"/>
      <c r="CX1146" s="116"/>
      <c r="CY1146" s="117"/>
      <c r="CZ1146" s="116"/>
      <c r="DA1146" s="113"/>
      <c r="DB1146" s="114"/>
      <c r="DC1146" s="64"/>
      <c r="DD1146" s="118"/>
    </row>
    <row r="1147" spans="1:108" s="119" customFormat="1" ht="24.75" outlineLevel="2">
      <c r="A1147" s="178">
        <v>40515</v>
      </c>
      <c r="B1147" s="164" t="s">
        <v>1666</v>
      </c>
      <c r="C1147" s="164" t="s">
        <v>1113</v>
      </c>
      <c r="D1147" s="166" t="s">
        <v>1182</v>
      </c>
      <c r="E1147" s="163"/>
      <c r="F1147" s="105"/>
      <c r="G1147" s="105"/>
      <c r="H1147" s="105">
        <v>20</v>
      </c>
      <c r="I1147" s="105">
        <v>4</v>
      </c>
      <c r="J1147" s="105">
        <v>1</v>
      </c>
      <c r="K1147" s="105">
        <v>3</v>
      </c>
      <c r="L1147" s="105"/>
      <c r="M1147" s="105"/>
      <c r="N1147" s="105"/>
      <c r="O1147" s="105"/>
      <c r="P1147" s="105"/>
      <c r="Q1147" s="105"/>
      <c r="R1147" s="105"/>
      <c r="S1147" s="105">
        <v>2</v>
      </c>
      <c r="T1147" s="106"/>
      <c r="U1147" s="130" t="s">
        <v>2185</v>
      </c>
      <c r="V1147" s="1"/>
      <c r="W1147" s="68">
        <f t="shared" si="279"/>
        <v>0</v>
      </c>
      <c r="X1147" s="68">
        <f t="shared" si="280"/>
        <v>0</v>
      </c>
      <c r="Y1147" s="68">
        <f t="shared" si="278"/>
        <v>0</v>
      </c>
      <c r="Z1147" s="68">
        <f t="shared" si="281"/>
        <v>0</v>
      </c>
      <c r="AA1147" s="68"/>
      <c r="AB1147" s="68">
        <v>0</v>
      </c>
      <c r="AC1147" s="69">
        <f t="shared" si="282"/>
        <v>0</v>
      </c>
      <c r="AD1147" s="70">
        <v>0</v>
      </c>
      <c r="AE1147" s="63"/>
      <c r="AF1147" s="72"/>
      <c r="AG1147" s="63"/>
      <c r="AH1147" s="23"/>
      <c r="AI1147" s="60"/>
      <c r="AJ1147" s="124"/>
      <c r="AK1147" s="121" t="s">
        <v>2184</v>
      </c>
      <c r="AL1147" s="107"/>
      <c r="AM1147" s="108"/>
      <c r="AN1147" s="109"/>
      <c r="AO1147" s="108"/>
      <c r="AP1147" s="108"/>
      <c r="AQ1147" s="108"/>
      <c r="AR1147" s="108"/>
      <c r="AS1147" s="108"/>
      <c r="AT1147" s="108"/>
      <c r="AU1147" s="108"/>
      <c r="AV1147" s="108"/>
      <c r="AW1147" s="108"/>
      <c r="AX1147" s="108"/>
      <c r="AY1147" s="108"/>
      <c r="AZ1147" s="108"/>
      <c r="BA1147" s="108"/>
      <c r="BB1147" s="108"/>
      <c r="BC1147" s="108"/>
      <c r="BD1147" s="108"/>
      <c r="BE1147" s="108"/>
      <c r="BF1147" s="108"/>
      <c r="BG1147" s="108"/>
      <c r="BH1147" s="108"/>
      <c r="BI1147" s="108"/>
      <c r="BJ1147" s="108"/>
      <c r="BK1147" s="108"/>
      <c r="BL1147" s="108"/>
      <c r="BM1147" s="108"/>
      <c r="BN1147" s="108"/>
      <c r="BO1147" s="108"/>
      <c r="BP1147" s="108"/>
      <c r="BQ1147" s="108"/>
      <c r="BR1147" s="108"/>
      <c r="BS1147" s="108"/>
      <c r="BT1147" s="108"/>
      <c r="BU1147" s="108"/>
      <c r="BV1147" s="108"/>
      <c r="BW1147" s="108"/>
      <c r="BX1147" s="108"/>
      <c r="BY1147" s="108"/>
      <c r="BZ1147" s="108"/>
      <c r="CA1147" s="108"/>
      <c r="CB1147" s="108"/>
      <c r="CC1147" s="108"/>
      <c r="CD1147" s="108"/>
      <c r="CE1147" s="108"/>
      <c r="CF1147" s="108"/>
      <c r="CG1147" s="108"/>
      <c r="CH1147" s="108"/>
      <c r="CI1147" s="108"/>
      <c r="CJ1147" s="108"/>
      <c r="CK1147" s="108"/>
      <c r="CL1147" s="108"/>
      <c r="CM1147" s="108"/>
      <c r="CN1147" s="110"/>
      <c r="CO1147" s="111"/>
      <c r="CP1147" s="110"/>
      <c r="CQ1147" s="111"/>
      <c r="CR1147" s="110"/>
      <c r="CS1147" s="111"/>
      <c r="CT1147" s="112">
        <f t="shared" si="283"/>
        <v>0</v>
      </c>
      <c r="CU1147" s="113"/>
      <c r="CV1147" s="114"/>
      <c r="CW1147" s="115"/>
      <c r="CX1147" s="116"/>
      <c r="CY1147" s="117"/>
      <c r="CZ1147" s="116"/>
      <c r="DA1147" s="113"/>
      <c r="DB1147" s="114"/>
      <c r="DC1147" s="64"/>
      <c r="DD1147" s="118"/>
    </row>
    <row r="1148" spans="1:108" s="119" customFormat="1" ht="24" outlineLevel="2">
      <c r="A1148" s="178">
        <v>40516</v>
      </c>
      <c r="B1148" s="164" t="s">
        <v>1666</v>
      </c>
      <c r="C1148" s="164" t="s">
        <v>600</v>
      </c>
      <c r="D1148" s="166" t="s">
        <v>1182</v>
      </c>
      <c r="E1148" s="163"/>
      <c r="F1148" s="105"/>
      <c r="G1148" s="105"/>
      <c r="H1148" s="105">
        <v>520</v>
      </c>
      <c r="I1148" s="105">
        <v>104</v>
      </c>
      <c r="J1148" s="105">
        <v>20</v>
      </c>
      <c r="K1148" s="105">
        <v>84</v>
      </c>
      <c r="L1148" s="105"/>
      <c r="M1148" s="105"/>
      <c r="N1148" s="105"/>
      <c r="O1148" s="105"/>
      <c r="P1148" s="105"/>
      <c r="Q1148" s="105"/>
      <c r="R1148" s="105"/>
      <c r="S1148" s="105"/>
      <c r="T1148" s="106"/>
      <c r="U1148" s="130"/>
      <c r="V1148" s="1"/>
      <c r="W1148" s="68">
        <f t="shared" si="279"/>
        <v>0</v>
      </c>
      <c r="X1148" s="68">
        <f t="shared" si="280"/>
        <v>0</v>
      </c>
      <c r="Y1148" s="68">
        <f t="shared" si="278"/>
        <v>0</v>
      </c>
      <c r="Z1148" s="68">
        <f t="shared" si="281"/>
        <v>0</v>
      </c>
      <c r="AA1148" s="68"/>
      <c r="AB1148" s="68">
        <v>0</v>
      </c>
      <c r="AC1148" s="69">
        <f t="shared" si="282"/>
        <v>0</v>
      </c>
      <c r="AD1148" s="70">
        <v>0</v>
      </c>
      <c r="AE1148" s="63"/>
      <c r="AF1148" s="72"/>
      <c r="AG1148" s="63"/>
      <c r="AH1148" s="23"/>
      <c r="AI1148" s="60"/>
      <c r="AJ1148" s="124"/>
      <c r="AK1148" s="121" t="s">
        <v>2208</v>
      </c>
      <c r="AL1148" s="107"/>
      <c r="AM1148" s="108"/>
      <c r="AN1148" s="109"/>
      <c r="AO1148" s="108"/>
      <c r="AP1148" s="108"/>
      <c r="AQ1148" s="108"/>
      <c r="AR1148" s="108"/>
      <c r="AS1148" s="108"/>
      <c r="AT1148" s="108"/>
      <c r="AU1148" s="108"/>
      <c r="AV1148" s="108"/>
      <c r="AW1148" s="108"/>
      <c r="AX1148" s="108"/>
      <c r="AY1148" s="108"/>
      <c r="AZ1148" s="108"/>
      <c r="BA1148" s="108"/>
      <c r="BB1148" s="108"/>
      <c r="BC1148" s="108"/>
      <c r="BD1148" s="108"/>
      <c r="BE1148" s="108"/>
      <c r="BF1148" s="108"/>
      <c r="BG1148" s="108"/>
      <c r="BH1148" s="108"/>
      <c r="BI1148" s="108"/>
      <c r="BJ1148" s="108"/>
      <c r="BK1148" s="108"/>
      <c r="BL1148" s="108"/>
      <c r="BM1148" s="108"/>
      <c r="BN1148" s="108"/>
      <c r="BO1148" s="108"/>
      <c r="BP1148" s="108"/>
      <c r="BQ1148" s="108"/>
      <c r="BR1148" s="108"/>
      <c r="BS1148" s="108"/>
      <c r="BT1148" s="108"/>
      <c r="BU1148" s="108"/>
      <c r="BV1148" s="108"/>
      <c r="BW1148" s="108"/>
      <c r="BX1148" s="108"/>
      <c r="BY1148" s="108"/>
      <c r="BZ1148" s="108"/>
      <c r="CA1148" s="108"/>
      <c r="CB1148" s="108"/>
      <c r="CC1148" s="108"/>
      <c r="CD1148" s="108"/>
      <c r="CE1148" s="108"/>
      <c r="CF1148" s="108"/>
      <c r="CG1148" s="108"/>
      <c r="CH1148" s="108"/>
      <c r="CI1148" s="108"/>
      <c r="CJ1148" s="108"/>
      <c r="CK1148" s="108"/>
      <c r="CL1148" s="108"/>
      <c r="CM1148" s="108"/>
      <c r="CN1148" s="110"/>
      <c r="CO1148" s="111"/>
      <c r="CP1148" s="110"/>
      <c r="CQ1148" s="111"/>
      <c r="CR1148" s="110"/>
      <c r="CS1148" s="111"/>
      <c r="CT1148" s="112">
        <f t="shared" si="283"/>
        <v>0</v>
      </c>
      <c r="CU1148" s="113"/>
      <c r="CV1148" s="114"/>
      <c r="CW1148" s="115"/>
      <c r="CX1148" s="116"/>
      <c r="CY1148" s="117"/>
      <c r="CZ1148" s="116"/>
      <c r="DA1148" s="113"/>
      <c r="DB1148" s="114"/>
      <c r="DC1148" s="64"/>
      <c r="DD1148" s="118"/>
    </row>
    <row r="1149" spans="1:108" s="119" customFormat="1" ht="29.25" customHeight="1" outlineLevel="1">
      <c r="A1149" s="178"/>
      <c r="B1149" s="192" t="s">
        <v>2458</v>
      </c>
      <c r="C1149" s="164"/>
      <c r="D1149" s="166"/>
      <c r="E1149" s="163">
        <f t="shared" ref="E1149:T1149" si="284">SUBTOTAL(9,E1072:E1148)</f>
        <v>12</v>
      </c>
      <c r="F1149" s="105">
        <f t="shared" si="284"/>
        <v>26</v>
      </c>
      <c r="G1149" s="105">
        <f t="shared" si="284"/>
        <v>3</v>
      </c>
      <c r="H1149" s="105">
        <f t="shared" si="284"/>
        <v>56774</v>
      </c>
      <c r="I1149" s="105">
        <f t="shared" si="284"/>
        <v>11397</v>
      </c>
      <c r="J1149" s="105">
        <f t="shared" si="284"/>
        <v>1059</v>
      </c>
      <c r="K1149" s="105">
        <f t="shared" si="284"/>
        <v>2611</v>
      </c>
      <c r="L1149" s="105">
        <f t="shared" si="284"/>
        <v>22</v>
      </c>
      <c r="M1149" s="105">
        <f t="shared" si="284"/>
        <v>0</v>
      </c>
      <c r="N1149" s="105">
        <f t="shared" si="284"/>
        <v>10</v>
      </c>
      <c r="O1149" s="105">
        <f t="shared" si="284"/>
        <v>18</v>
      </c>
      <c r="P1149" s="105">
        <f t="shared" si="284"/>
        <v>14</v>
      </c>
      <c r="Q1149" s="105">
        <f t="shared" si="284"/>
        <v>3</v>
      </c>
      <c r="R1149" s="105">
        <f t="shared" si="284"/>
        <v>11</v>
      </c>
      <c r="S1149" s="105">
        <f t="shared" si="284"/>
        <v>3</v>
      </c>
      <c r="T1149" s="106">
        <f t="shared" si="284"/>
        <v>0</v>
      </c>
      <c r="U1149" s="130"/>
      <c r="V1149" s="1"/>
      <c r="W1149" s="68">
        <f t="shared" ref="W1149:AD1149" si="285">SUBTOTAL(9,W1072:W1148)</f>
        <v>0</v>
      </c>
      <c r="X1149" s="68">
        <f t="shared" si="285"/>
        <v>0</v>
      </c>
      <c r="Y1149" s="68">
        <f t="shared" si="285"/>
        <v>153920163.19999999</v>
      </c>
      <c r="Z1149" s="68">
        <f t="shared" si="285"/>
        <v>0</v>
      </c>
      <c r="AA1149" s="68">
        <f t="shared" si="285"/>
        <v>121831145</v>
      </c>
      <c r="AB1149" s="68">
        <f t="shared" si="285"/>
        <v>342213000</v>
      </c>
      <c r="AC1149" s="69">
        <f t="shared" si="285"/>
        <v>617964308.20000005</v>
      </c>
      <c r="AD1149" s="70">
        <f t="shared" si="285"/>
        <v>0</v>
      </c>
      <c r="AE1149" s="63"/>
      <c r="AF1149" s="72"/>
      <c r="AG1149" s="63"/>
      <c r="AH1149" s="23"/>
      <c r="AI1149" s="60"/>
      <c r="AJ1149" s="124"/>
      <c r="AK1149" s="121"/>
      <c r="AL1149" s="107"/>
      <c r="AM1149" s="108"/>
      <c r="AN1149" s="109"/>
      <c r="AO1149" s="108"/>
      <c r="AP1149" s="108"/>
      <c r="AQ1149" s="108"/>
      <c r="AR1149" s="108"/>
      <c r="AS1149" s="108"/>
      <c r="AT1149" s="108"/>
      <c r="AU1149" s="108"/>
      <c r="AV1149" s="108"/>
      <c r="AW1149" s="108"/>
      <c r="AX1149" s="108"/>
      <c r="AY1149" s="108"/>
      <c r="AZ1149" s="108"/>
      <c r="BA1149" s="108"/>
      <c r="BB1149" s="108"/>
      <c r="BC1149" s="108"/>
      <c r="BD1149" s="108"/>
      <c r="BE1149" s="108"/>
      <c r="BF1149" s="108"/>
      <c r="BG1149" s="108"/>
      <c r="BH1149" s="108"/>
      <c r="BI1149" s="108"/>
      <c r="BJ1149" s="108"/>
      <c r="BK1149" s="108"/>
      <c r="BL1149" s="108"/>
      <c r="BM1149" s="108"/>
      <c r="BN1149" s="108"/>
      <c r="BO1149" s="108"/>
      <c r="BP1149" s="108"/>
      <c r="BQ1149" s="108"/>
      <c r="BR1149" s="108"/>
      <c r="BS1149" s="108"/>
      <c r="BT1149" s="108"/>
      <c r="BU1149" s="108"/>
      <c r="BV1149" s="108"/>
      <c r="BW1149" s="108"/>
      <c r="BX1149" s="108"/>
      <c r="BY1149" s="108"/>
      <c r="BZ1149" s="108"/>
      <c r="CA1149" s="108"/>
      <c r="CB1149" s="108"/>
      <c r="CC1149" s="108"/>
      <c r="CD1149" s="108"/>
      <c r="CE1149" s="108"/>
      <c r="CF1149" s="108"/>
      <c r="CG1149" s="108"/>
      <c r="CH1149" s="108"/>
      <c r="CI1149" s="108"/>
      <c r="CJ1149" s="108"/>
      <c r="CK1149" s="108"/>
      <c r="CL1149" s="108"/>
      <c r="CM1149" s="108"/>
      <c r="CN1149" s="110"/>
      <c r="CO1149" s="111"/>
      <c r="CP1149" s="110"/>
      <c r="CQ1149" s="111"/>
      <c r="CR1149" s="110"/>
      <c r="CS1149" s="111"/>
      <c r="CT1149" s="112"/>
      <c r="CU1149" s="113"/>
      <c r="CV1149" s="114"/>
      <c r="CW1149" s="115"/>
      <c r="CX1149" s="116"/>
      <c r="CY1149" s="117"/>
      <c r="CZ1149" s="116"/>
      <c r="DA1149" s="113"/>
      <c r="DB1149" s="114"/>
      <c r="DC1149" s="64"/>
      <c r="DD1149" s="118"/>
    </row>
    <row r="1150" spans="1:108" s="119" customFormat="1" ht="36" outlineLevel="2">
      <c r="A1150" s="178">
        <v>40274</v>
      </c>
      <c r="B1150" s="82" t="s">
        <v>1258</v>
      </c>
      <c r="C1150" s="82" t="s">
        <v>1259</v>
      </c>
      <c r="D1150" s="165" t="s">
        <v>1262</v>
      </c>
      <c r="E1150" s="167"/>
      <c r="F1150" s="66"/>
      <c r="G1150" s="66"/>
      <c r="H1150" s="66">
        <v>120</v>
      </c>
      <c r="I1150" s="66">
        <v>18</v>
      </c>
      <c r="J1150" s="66"/>
      <c r="K1150" s="66">
        <v>18</v>
      </c>
      <c r="L1150" s="66"/>
      <c r="M1150" s="66"/>
      <c r="N1150" s="66"/>
      <c r="O1150" s="66"/>
      <c r="P1150" s="66"/>
      <c r="Q1150" s="66"/>
      <c r="R1150" s="66"/>
      <c r="S1150" s="66"/>
      <c r="T1150" s="67"/>
      <c r="U1150" s="151"/>
      <c r="V1150" s="1"/>
      <c r="W1150" s="68">
        <f t="shared" ref="W1150:W1157" si="286">CT1150</f>
        <v>0</v>
      </c>
      <c r="X1150" s="68">
        <f t="shared" ref="X1150:X1157" si="287">CX1150</f>
        <v>0</v>
      </c>
      <c r="Y1150" s="68">
        <f t="shared" ref="Y1150:Y1157" si="288">CZ1150+DB1150</f>
        <v>0</v>
      </c>
      <c r="Z1150" s="68">
        <f t="shared" ref="Z1150:Z1157" si="289">CV1150</f>
        <v>0</v>
      </c>
      <c r="AA1150" s="68"/>
      <c r="AB1150" s="68">
        <v>0</v>
      </c>
      <c r="AC1150" s="69">
        <f t="shared" ref="AC1150:AC1157" si="290">W1150+X1150+Y1150+Z1150+AA1150+AB1150</f>
        <v>0</v>
      </c>
      <c r="AD1150" s="70">
        <v>0</v>
      </c>
      <c r="AE1150" s="63">
        <v>40276</v>
      </c>
      <c r="AF1150" s="72"/>
      <c r="AG1150" s="63" t="s">
        <v>938</v>
      </c>
      <c r="AH1150" s="23" t="s">
        <v>939</v>
      </c>
      <c r="AI1150" s="60"/>
      <c r="AJ1150" s="133" t="s">
        <v>1608</v>
      </c>
      <c r="AK1150" s="73" t="s">
        <v>1561</v>
      </c>
      <c r="AL1150" s="3"/>
      <c r="AM1150" s="4"/>
      <c r="AN1150" s="5"/>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6"/>
      <c r="CO1150" s="7"/>
      <c r="CP1150" s="6"/>
      <c r="CQ1150" s="7"/>
      <c r="CR1150" s="6"/>
      <c r="CS1150" s="7"/>
      <c r="CT1150" s="8">
        <f t="shared" ref="CT1150:CT1157" si="291">AM1150+AO1150+AQ1150+AS1150+AU1150+AW1150+AY1150+BA1150+BC1150+BE1150+BG1150+BI1150+BK1150+BM1150+BO1150+BQ1150+BS1150+BU1150+BW1150+BY1150+CA1150+CC1150+CE1150+CG1150+CI1150+CK1150+CM1150+CO1150+CQ1150+CS1150</f>
        <v>0</v>
      </c>
      <c r="CU1150" s="9"/>
      <c r="CV1150" s="10"/>
      <c r="CW1150" s="11"/>
      <c r="CX1150" s="12"/>
      <c r="CY1150" s="26"/>
      <c r="CZ1150" s="12"/>
      <c r="DA1150" s="9"/>
      <c r="DB1150" s="10"/>
      <c r="DC1150" s="64"/>
      <c r="DD1150" s="22"/>
    </row>
    <row r="1151" spans="1:108" s="119" customFormat="1" ht="24" outlineLevel="2">
      <c r="A1151" s="178">
        <v>40299</v>
      </c>
      <c r="B1151" s="82" t="s">
        <v>1258</v>
      </c>
      <c r="C1151" s="82" t="s">
        <v>1259</v>
      </c>
      <c r="D1151" s="165" t="s">
        <v>1262</v>
      </c>
      <c r="E1151" s="167"/>
      <c r="F1151" s="66"/>
      <c r="G1151" s="66"/>
      <c r="H1151" s="66">
        <v>125</v>
      </c>
      <c r="I1151" s="66">
        <v>25</v>
      </c>
      <c r="J1151" s="66"/>
      <c r="K1151" s="66">
        <v>25</v>
      </c>
      <c r="L1151" s="66"/>
      <c r="M1151" s="66"/>
      <c r="N1151" s="66"/>
      <c r="O1151" s="66"/>
      <c r="P1151" s="66"/>
      <c r="Q1151" s="66"/>
      <c r="R1151" s="66"/>
      <c r="S1151" s="66"/>
      <c r="T1151" s="67"/>
      <c r="U1151" s="151"/>
      <c r="V1151" s="1"/>
      <c r="W1151" s="68">
        <f t="shared" si="286"/>
        <v>0</v>
      </c>
      <c r="X1151" s="68">
        <f t="shared" si="287"/>
        <v>0</v>
      </c>
      <c r="Y1151" s="68">
        <f t="shared" si="288"/>
        <v>0</v>
      </c>
      <c r="Z1151" s="68">
        <f t="shared" si="289"/>
        <v>0</v>
      </c>
      <c r="AA1151" s="68"/>
      <c r="AB1151" s="68">
        <v>0</v>
      </c>
      <c r="AC1151" s="69">
        <f t="shared" si="290"/>
        <v>0</v>
      </c>
      <c r="AD1151" s="70">
        <v>0</v>
      </c>
      <c r="AE1151" s="63">
        <v>40301</v>
      </c>
      <c r="AF1151" s="72"/>
      <c r="AG1151" s="63" t="s">
        <v>938</v>
      </c>
      <c r="AH1151" s="23" t="s">
        <v>939</v>
      </c>
      <c r="AI1151" s="60"/>
      <c r="AJ1151" s="133" t="s">
        <v>1608</v>
      </c>
      <c r="AK1151" s="73" t="s">
        <v>1716</v>
      </c>
      <c r="AL1151" s="3"/>
      <c r="AM1151" s="4"/>
      <c r="AN1151" s="5"/>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6"/>
      <c r="CO1151" s="7"/>
      <c r="CP1151" s="6"/>
      <c r="CQ1151" s="7"/>
      <c r="CR1151" s="6"/>
      <c r="CS1151" s="7"/>
      <c r="CT1151" s="8">
        <f t="shared" si="291"/>
        <v>0</v>
      </c>
      <c r="CU1151" s="9"/>
      <c r="CV1151" s="10"/>
      <c r="CW1151" s="11"/>
      <c r="CX1151" s="12"/>
      <c r="CY1151" s="26"/>
      <c r="CZ1151" s="12"/>
      <c r="DA1151" s="9"/>
      <c r="DB1151" s="10"/>
      <c r="DC1151" s="64"/>
      <c r="DD1151" s="22"/>
    </row>
    <row r="1152" spans="1:108" s="119" customFormat="1" ht="24" outlineLevel="2">
      <c r="A1152" s="178">
        <v>40400</v>
      </c>
      <c r="B1152" s="82" t="s">
        <v>1258</v>
      </c>
      <c r="C1152" s="82" t="s">
        <v>2048</v>
      </c>
      <c r="D1152" s="165" t="s">
        <v>435</v>
      </c>
      <c r="E1152" s="167"/>
      <c r="F1152" s="66"/>
      <c r="G1152" s="66"/>
      <c r="H1152" s="66">
        <v>10</v>
      </c>
      <c r="I1152" s="66">
        <v>2</v>
      </c>
      <c r="J1152" s="66"/>
      <c r="K1152" s="66">
        <v>2</v>
      </c>
      <c r="L1152" s="66"/>
      <c r="M1152" s="66"/>
      <c r="N1152" s="66"/>
      <c r="O1152" s="66"/>
      <c r="P1152" s="66"/>
      <c r="Q1152" s="66"/>
      <c r="R1152" s="66"/>
      <c r="S1152" s="66"/>
      <c r="T1152" s="67"/>
      <c r="U1152" s="151"/>
      <c r="V1152" s="1"/>
      <c r="W1152" s="68">
        <f t="shared" si="286"/>
        <v>0</v>
      </c>
      <c r="X1152" s="68">
        <f t="shared" si="287"/>
        <v>0</v>
      </c>
      <c r="Y1152" s="68">
        <f t="shared" si="288"/>
        <v>0</v>
      </c>
      <c r="Z1152" s="68">
        <f t="shared" si="289"/>
        <v>0</v>
      </c>
      <c r="AA1152" s="68"/>
      <c r="AB1152" s="68">
        <v>0</v>
      </c>
      <c r="AC1152" s="69">
        <f t="shared" si="290"/>
        <v>0</v>
      </c>
      <c r="AD1152" s="70">
        <v>0</v>
      </c>
      <c r="AE1152" s="63">
        <v>40403</v>
      </c>
      <c r="AF1152" s="72"/>
      <c r="AG1152" s="63" t="s">
        <v>938</v>
      </c>
      <c r="AH1152" s="23" t="s">
        <v>939</v>
      </c>
      <c r="AI1152" s="60"/>
      <c r="AJ1152" s="133" t="s">
        <v>1608</v>
      </c>
      <c r="AK1152" s="73" t="s">
        <v>2049</v>
      </c>
      <c r="AL1152" s="3"/>
      <c r="AM1152" s="4"/>
      <c r="AN1152" s="5"/>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6"/>
      <c r="CO1152" s="7"/>
      <c r="CP1152" s="6"/>
      <c r="CQ1152" s="7"/>
      <c r="CR1152" s="6"/>
      <c r="CS1152" s="7"/>
      <c r="CT1152" s="8">
        <f t="shared" si="291"/>
        <v>0</v>
      </c>
      <c r="CU1152" s="9"/>
      <c r="CV1152" s="10"/>
      <c r="CW1152" s="11"/>
      <c r="CX1152" s="12"/>
      <c r="CY1152" s="26"/>
      <c r="CZ1152" s="12"/>
      <c r="DA1152" s="9"/>
      <c r="DB1152" s="10"/>
      <c r="DC1152" s="64"/>
      <c r="DD1152" s="22"/>
    </row>
    <row r="1153" spans="1:108" s="119" customFormat="1" outlineLevel="2">
      <c r="A1153" s="178">
        <v>40435</v>
      </c>
      <c r="B1153" s="174" t="s">
        <v>1258</v>
      </c>
      <c r="C1153" s="174" t="s">
        <v>1259</v>
      </c>
      <c r="D1153" s="179" t="s">
        <v>435</v>
      </c>
      <c r="E1153" s="163"/>
      <c r="F1153" s="105"/>
      <c r="G1153" s="105"/>
      <c r="H1153" s="105">
        <v>2</v>
      </c>
      <c r="I1153" s="105">
        <v>1</v>
      </c>
      <c r="J1153" s="105"/>
      <c r="K1153" s="105">
        <v>1</v>
      </c>
      <c r="L1153" s="105"/>
      <c r="M1153" s="105"/>
      <c r="N1153" s="105"/>
      <c r="O1153" s="105"/>
      <c r="P1153" s="105"/>
      <c r="Q1153" s="105"/>
      <c r="R1153" s="105"/>
      <c r="S1153" s="105"/>
      <c r="T1153" s="106"/>
      <c r="U1153" s="130"/>
      <c r="V1153" s="1"/>
      <c r="W1153" s="68">
        <f t="shared" si="286"/>
        <v>0</v>
      </c>
      <c r="X1153" s="68">
        <f t="shared" si="287"/>
        <v>0</v>
      </c>
      <c r="Y1153" s="68">
        <f t="shared" si="288"/>
        <v>0</v>
      </c>
      <c r="Z1153" s="68">
        <f t="shared" si="289"/>
        <v>0</v>
      </c>
      <c r="AA1153" s="68"/>
      <c r="AB1153" s="68">
        <v>0</v>
      </c>
      <c r="AC1153" s="69">
        <f t="shared" si="290"/>
        <v>0</v>
      </c>
      <c r="AD1153" s="70">
        <v>0</v>
      </c>
      <c r="AE1153" s="63">
        <v>40441</v>
      </c>
      <c r="AF1153" s="72"/>
      <c r="AG1153" s="63" t="s">
        <v>938</v>
      </c>
      <c r="AH1153" s="23" t="s">
        <v>939</v>
      </c>
      <c r="AI1153" s="60"/>
      <c r="AJ1153" s="124" t="s">
        <v>1608</v>
      </c>
      <c r="AK1153" s="121" t="s">
        <v>1673</v>
      </c>
      <c r="AL1153" s="107"/>
      <c r="AM1153" s="108"/>
      <c r="AN1153" s="109"/>
      <c r="AO1153" s="108"/>
      <c r="AP1153" s="108"/>
      <c r="AQ1153" s="108"/>
      <c r="AR1153" s="108"/>
      <c r="AS1153" s="108"/>
      <c r="AT1153" s="108"/>
      <c r="AU1153" s="108"/>
      <c r="AV1153" s="108"/>
      <c r="AW1153" s="108"/>
      <c r="AX1153" s="108"/>
      <c r="AY1153" s="108"/>
      <c r="AZ1153" s="108"/>
      <c r="BA1153" s="108"/>
      <c r="BB1153" s="108"/>
      <c r="BC1153" s="108"/>
      <c r="BD1153" s="108"/>
      <c r="BE1153" s="108"/>
      <c r="BF1153" s="108"/>
      <c r="BG1153" s="108"/>
      <c r="BH1153" s="108"/>
      <c r="BI1153" s="108"/>
      <c r="BJ1153" s="108"/>
      <c r="BK1153" s="108"/>
      <c r="BL1153" s="108"/>
      <c r="BM1153" s="108"/>
      <c r="BN1153" s="108"/>
      <c r="BO1153" s="108"/>
      <c r="BP1153" s="108"/>
      <c r="BQ1153" s="108"/>
      <c r="BR1153" s="108"/>
      <c r="BS1153" s="108"/>
      <c r="BT1153" s="108"/>
      <c r="BU1153" s="108"/>
      <c r="BV1153" s="108"/>
      <c r="BW1153" s="108"/>
      <c r="BX1153" s="108"/>
      <c r="BY1153" s="108"/>
      <c r="BZ1153" s="108"/>
      <c r="CA1153" s="108"/>
      <c r="CB1153" s="108"/>
      <c r="CC1153" s="108"/>
      <c r="CD1153" s="108"/>
      <c r="CE1153" s="108"/>
      <c r="CF1153" s="108"/>
      <c r="CG1153" s="108"/>
      <c r="CH1153" s="108"/>
      <c r="CI1153" s="108"/>
      <c r="CJ1153" s="108"/>
      <c r="CK1153" s="108"/>
      <c r="CL1153" s="108"/>
      <c r="CM1153" s="108"/>
      <c r="CN1153" s="110"/>
      <c r="CO1153" s="111"/>
      <c r="CP1153" s="110"/>
      <c r="CQ1153" s="111"/>
      <c r="CR1153" s="110"/>
      <c r="CS1153" s="111"/>
      <c r="CT1153" s="112">
        <f t="shared" si="291"/>
        <v>0</v>
      </c>
      <c r="CU1153" s="113"/>
      <c r="CV1153" s="114"/>
      <c r="CW1153" s="115"/>
      <c r="CX1153" s="116"/>
      <c r="CY1153" s="117"/>
      <c r="CZ1153" s="116"/>
      <c r="DA1153" s="113"/>
      <c r="DB1153" s="114"/>
      <c r="DC1153" s="64"/>
      <c r="DD1153" s="118"/>
    </row>
    <row r="1154" spans="1:108" s="119" customFormat="1" ht="36" outlineLevel="2">
      <c r="A1154" s="178">
        <v>40460</v>
      </c>
      <c r="B1154" s="164" t="s">
        <v>1258</v>
      </c>
      <c r="C1154" s="164" t="s">
        <v>2048</v>
      </c>
      <c r="D1154" s="166" t="s">
        <v>435</v>
      </c>
      <c r="E1154" s="163"/>
      <c r="F1154" s="105"/>
      <c r="G1154" s="105"/>
      <c r="H1154" s="105">
        <v>120</v>
      </c>
      <c r="I1154" s="105">
        <v>28</v>
      </c>
      <c r="J1154" s="105"/>
      <c r="K1154" s="105">
        <v>28</v>
      </c>
      <c r="L1154" s="105"/>
      <c r="M1154" s="105"/>
      <c r="N1154" s="105"/>
      <c r="O1154" s="105"/>
      <c r="P1154" s="105"/>
      <c r="Q1154" s="105"/>
      <c r="R1154" s="105"/>
      <c r="S1154" s="105"/>
      <c r="T1154" s="106"/>
      <c r="U1154" s="130"/>
      <c r="V1154" s="1"/>
      <c r="W1154" s="68">
        <f t="shared" si="286"/>
        <v>0</v>
      </c>
      <c r="X1154" s="68">
        <f t="shared" si="287"/>
        <v>0</v>
      </c>
      <c r="Y1154" s="68">
        <f t="shared" si="288"/>
        <v>0</v>
      </c>
      <c r="Z1154" s="68">
        <f t="shared" si="289"/>
        <v>0</v>
      </c>
      <c r="AA1154" s="68"/>
      <c r="AB1154" s="68">
        <v>0</v>
      </c>
      <c r="AC1154" s="69">
        <f t="shared" si="290"/>
        <v>0</v>
      </c>
      <c r="AD1154" s="70">
        <v>22676500</v>
      </c>
      <c r="AE1154" s="63">
        <v>40478</v>
      </c>
      <c r="AF1154" s="72"/>
      <c r="AG1154" s="63" t="s">
        <v>954</v>
      </c>
      <c r="AH1154" s="23" t="s">
        <v>955</v>
      </c>
      <c r="AI1154" s="60"/>
      <c r="AJ1154" s="124"/>
      <c r="AK1154" s="121" t="s">
        <v>477</v>
      </c>
      <c r="AL1154" s="107"/>
      <c r="AM1154" s="108"/>
      <c r="AN1154" s="109"/>
      <c r="AO1154" s="108"/>
      <c r="AP1154" s="108"/>
      <c r="AQ1154" s="108"/>
      <c r="AR1154" s="108"/>
      <c r="AS1154" s="108"/>
      <c r="AT1154" s="108"/>
      <c r="AU1154" s="108"/>
      <c r="AV1154" s="108"/>
      <c r="AW1154" s="108"/>
      <c r="AX1154" s="108"/>
      <c r="AY1154" s="108"/>
      <c r="AZ1154" s="108"/>
      <c r="BA1154" s="108"/>
      <c r="BB1154" s="108"/>
      <c r="BC1154" s="108"/>
      <c r="BD1154" s="108"/>
      <c r="BE1154" s="108"/>
      <c r="BF1154" s="108"/>
      <c r="BG1154" s="108"/>
      <c r="BH1154" s="108"/>
      <c r="BI1154" s="108"/>
      <c r="BJ1154" s="108"/>
      <c r="BK1154" s="108"/>
      <c r="BL1154" s="108"/>
      <c r="BM1154" s="108"/>
      <c r="BN1154" s="108"/>
      <c r="BO1154" s="108"/>
      <c r="BP1154" s="108"/>
      <c r="BQ1154" s="108"/>
      <c r="BR1154" s="108"/>
      <c r="BS1154" s="108"/>
      <c r="BT1154" s="108"/>
      <c r="BU1154" s="108"/>
      <c r="BV1154" s="108"/>
      <c r="BW1154" s="108"/>
      <c r="BX1154" s="108"/>
      <c r="BY1154" s="108"/>
      <c r="BZ1154" s="108"/>
      <c r="CA1154" s="108"/>
      <c r="CB1154" s="108"/>
      <c r="CC1154" s="108"/>
      <c r="CD1154" s="108"/>
      <c r="CE1154" s="108"/>
      <c r="CF1154" s="108"/>
      <c r="CG1154" s="108"/>
      <c r="CH1154" s="108"/>
      <c r="CI1154" s="108"/>
      <c r="CJ1154" s="108"/>
      <c r="CK1154" s="108"/>
      <c r="CL1154" s="108"/>
      <c r="CM1154" s="108"/>
      <c r="CN1154" s="110"/>
      <c r="CO1154" s="111"/>
      <c r="CP1154" s="110"/>
      <c r="CQ1154" s="111"/>
      <c r="CR1154" s="110"/>
      <c r="CS1154" s="111"/>
      <c r="CT1154" s="112">
        <f t="shared" si="291"/>
        <v>0</v>
      </c>
      <c r="CU1154" s="113"/>
      <c r="CV1154" s="114"/>
      <c r="CW1154" s="115"/>
      <c r="CX1154" s="116"/>
      <c r="CY1154" s="117"/>
      <c r="CZ1154" s="116"/>
      <c r="DA1154" s="113"/>
      <c r="DB1154" s="114"/>
      <c r="DC1154" s="64"/>
      <c r="DD1154" s="118"/>
    </row>
    <row r="1155" spans="1:108" s="119" customFormat="1" ht="24" outlineLevel="2">
      <c r="A1155" s="178">
        <v>40461</v>
      </c>
      <c r="B1155" s="164" t="s">
        <v>1258</v>
      </c>
      <c r="C1155" s="164" t="s">
        <v>1259</v>
      </c>
      <c r="D1155" s="166" t="s">
        <v>435</v>
      </c>
      <c r="E1155" s="163"/>
      <c r="F1155" s="105"/>
      <c r="G1155" s="105"/>
      <c r="H1155" s="105">
        <v>12</v>
      </c>
      <c r="I1155" s="105">
        <v>4</v>
      </c>
      <c r="J1155" s="105"/>
      <c r="K1155" s="105">
        <v>3</v>
      </c>
      <c r="L1155" s="105"/>
      <c r="M1155" s="105"/>
      <c r="N1155" s="105"/>
      <c r="O1155" s="105"/>
      <c r="P1155" s="105"/>
      <c r="Q1155" s="105"/>
      <c r="R1155" s="105"/>
      <c r="S1155" s="105"/>
      <c r="T1155" s="106"/>
      <c r="U1155" s="130"/>
      <c r="V1155" s="1"/>
      <c r="W1155" s="68">
        <f t="shared" si="286"/>
        <v>0</v>
      </c>
      <c r="X1155" s="68">
        <f t="shared" si="287"/>
        <v>0</v>
      </c>
      <c r="Y1155" s="68">
        <f t="shared" si="288"/>
        <v>0</v>
      </c>
      <c r="Z1155" s="68">
        <f t="shared" si="289"/>
        <v>0</v>
      </c>
      <c r="AA1155" s="68"/>
      <c r="AB1155" s="68">
        <v>0</v>
      </c>
      <c r="AC1155" s="69">
        <f t="shared" si="290"/>
        <v>0</v>
      </c>
      <c r="AD1155" s="70">
        <v>0</v>
      </c>
      <c r="AE1155" s="63">
        <v>40462</v>
      </c>
      <c r="AF1155" s="72"/>
      <c r="AG1155" s="63" t="s">
        <v>938</v>
      </c>
      <c r="AH1155" s="23" t="s">
        <v>939</v>
      </c>
      <c r="AI1155" s="60"/>
      <c r="AJ1155" s="124" t="s">
        <v>1608</v>
      </c>
      <c r="AK1155" s="121" t="s">
        <v>234</v>
      </c>
      <c r="AL1155" s="107"/>
      <c r="AM1155" s="108"/>
      <c r="AN1155" s="109"/>
      <c r="AO1155" s="108"/>
      <c r="AP1155" s="108"/>
      <c r="AQ1155" s="108"/>
      <c r="AR1155" s="108"/>
      <c r="AS1155" s="108"/>
      <c r="AT1155" s="108"/>
      <c r="AU1155" s="108"/>
      <c r="AV1155" s="108"/>
      <c r="AW1155" s="108"/>
      <c r="AX1155" s="108"/>
      <c r="AY1155" s="108"/>
      <c r="AZ1155" s="108"/>
      <c r="BA1155" s="108"/>
      <c r="BB1155" s="108"/>
      <c r="BC1155" s="108"/>
      <c r="BD1155" s="108"/>
      <c r="BE1155" s="108"/>
      <c r="BF1155" s="108"/>
      <c r="BG1155" s="108"/>
      <c r="BH1155" s="108"/>
      <c r="BI1155" s="108"/>
      <c r="BJ1155" s="108"/>
      <c r="BK1155" s="108"/>
      <c r="BL1155" s="108"/>
      <c r="BM1155" s="108"/>
      <c r="BN1155" s="108"/>
      <c r="BO1155" s="108"/>
      <c r="BP1155" s="108"/>
      <c r="BQ1155" s="108"/>
      <c r="BR1155" s="108"/>
      <c r="BS1155" s="108"/>
      <c r="BT1155" s="108"/>
      <c r="BU1155" s="108"/>
      <c r="BV1155" s="108"/>
      <c r="BW1155" s="108"/>
      <c r="BX1155" s="108"/>
      <c r="BY1155" s="108"/>
      <c r="BZ1155" s="108"/>
      <c r="CA1155" s="108"/>
      <c r="CB1155" s="108"/>
      <c r="CC1155" s="108"/>
      <c r="CD1155" s="108"/>
      <c r="CE1155" s="108"/>
      <c r="CF1155" s="108"/>
      <c r="CG1155" s="108"/>
      <c r="CH1155" s="108"/>
      <c r="CI1155" s="108"/>
      <c r="CJ1155" s="108"/>
      <c r="CK1155" s="108"/>
      <c r="CL1155" s="108"/>
      <c r="CM1155" s="108"/>
      <c r="CN1155" s="110"/>
      <c r="CO1155" s="111"/>
      <c r="CP1155" s="110"/>
      <c r="CQ1155" s="111"/>
      <c r="CR1155" s="110"/>
      <c r="CS1155" s="111"/>
      <c r="CT1155" s="112">
        <f t="shared" si="291"/>
        <v>0</v>
      </c>
      <c r="CU1155" s="113"/>
      <c r="CV1155" s="114"/>
      <c r="CW1155" s="115"/>
      <c r="CX1155" s="116"/>
      <c r="CY1155" s="117"/>
      <c r="CZ1155" s="116"/>
      <c r="DA1155" s="113"/>
      <c r="DB1155" s="114"/>
      <c r="DC1155" s="64"/>
      <c r="DD1155" s="118"/>
    </row>
    <row r="1156" spans="1:108" s="119" customFormat="1" ht="36" outlineLevel="2">
      <c r="A1156" s="178">
        <v>40475</v>
      </c>
      <c r="B1156" s="164" t="s">
        <v>1258</v>
      </c>
      <c r="C1156" s="164" t="s">
        <v>2344</v>
      </c>
      <c r="D1156" s="166" t="s">
        <v>435</v>
      </c>
      <c r="E1156" s="163"/>
      <c r="F1156" s="105"/>
      <c r="G1156" s="105"/>
      <c r="H1156" s="105">
        <v>320</v>
      </c>
      <c r="I1156" s="105">
        <v>42</v>
      </c>
      <c r="J1156" s="105"/>
      <c r="K1156" s="105">
        <v>42</v>
      </c>
      <c r="L1156" s="105"/>
      <c r="M1156" s="105"/>
      <c r="N1156" s="105"/>
      <c r="O1156" s="105"/>
      <c r="P1156" s="105"/>
      <c r="Q1156" s="105"/>
      <c r="R1156" s="105"/>
      <c r="S1156" s="105"/>
      <c r="T1156" s="106"/>
      <c r="U1156" s="130"/>
      <c r="V1156" s="1"/>
      <c r="W1156" s="68">
        <f t="shared" si="286"/>
        <v>0</v>
      </c>
      <c r="X1156" s="68">
        <f t="shared" si="287"/>
        <v>0</v>
      </c>
      <c r="Y1156" s="68">
        <f t="shared" si="288"/>
        <v>0</v>
      </c>
      <c r="Z1156" s="68">
        <f t="shared" si="289"/>
        <v>0</v>
      </c>
      <c r="AA1156" s="68"/>
      <c r="AB1156" s="68">
        <v>0</v>
      </c>
      <c r="AC1156" s="69">
        <f t="shared" si="290"/>
        <v>0</v>
      </c>
      <c r="AD1156" s="70">
        <v>0</v>
      </c>
      <c r="AE1156" s="63">
        <v>40478</v>
      </c>
      <c r="AF1156" s="72"/>
      <c r="AG1156" s="63" t="s">
        <v>938</v>
      </c>
      <c r="AH1156" s="23" t="s">
        <v>939</v>
      </c>
      <c r="AI1156" s="60"/>
      <c r="AJ1156" s="124" t="s">
        <v>1608</v>
      </c>
      <c r="AK1156" s="121" t="s">
        <v>2345</v>
      </c>
      <c r="AL1156" s="107"/>
      <c r="AM1156" s="108"/>
      <c r="AN1156" s="109"/>
      <c r="AO1156" s="108"/>
      <c r="AP1156" s="108"/>
      <c r="AQ1156" s="108"/>
      <c r="AR1156" s="108"/>
      <c r="AS1156" s="108"/>
      <c r="AT1156" s="108"/>
      <c r="AU1156" s="108"/>
      <c r="AV1156" s="108"/>
      <c r="AW1156" s="108"/>
      <c r="AX1156" s="108"/>
      <c r="AY1156" s="108"/>
      <c r="AZ1156" s="108"/>
      <c r="BA1156" s="108"/>
      <c r="BB1156" s="108"/>
      <c r="BC1156" s="108"/>
      <c r="BD1156" s="108"/>
      <c r="BE1156" s="108"/>
      <c r="BF1156" s="108"/>
      <c r="BG1156" s="108"/>
      <c r="BH1156" s="108"/>
      <c r="BI1156" s="108"/>
      <c r="BJ1156" s="108"/>
      <c r="BK1156" s="108"/>
      <c r="BL1156" s="108"/>
      <c r="BM1156" s="108"/>
      <c r="BN1156" s="108"/>
      <c r="BO1156" s="108"/>
      <c r="BP1156" s="108"/>
      <c r="BQ1156" s="108"/>
      <c r="BR1156" s="108"/>
      <c r="BS1156" s="108"/>
      <c r="BT1156" s="108"/>
      <c r="BU1156" s="108"/>
      <c r="BV1156" s="108"/>
      <c r="BW1156" s="108"/>
      <c r="BX1156" s="108"/>
      <c r="BY1156" s="108"/>
      <c r="BZ1156" s="108"/>
      <c r="CA1156" s="108"/>
      <c r="CB1156" s="108"/>
      <c r="CC1156" s="108"/>
      <c r="CD1156" s="108"/>
      <c r="CE1156" s="108"/>
      <c r="CF1156" s="108"/>
      <c r="CG1156" s="108"/>
      <c r="CH1156" s="108"/>
      <c r="CI1156" s="108"/>
      <c r="CJ1156" s="108"/>
      <c r="CK1156" s="108"/>
      <c r="CL1156" s="108"/>
      <c r="CM1156" s="108"/>
      <c r="CN1156" s="110"/>
      <c r="CO1156" s="111"/>
      <c r="CP1156" s="110"/>
      <c r="CQ1156" s="111"/>
      <c r="CR1156" s="110"/>
      <c r="CS1156" s="111"/>
      <c r="CT1156" s="112">
        <f t="shared" si="291"/>
        <v>0</v>
      </c>
      <c r="CU1156" s="113"/>
      <c r="CV1156" s="114"/>
      <c r="CW1156" s="115"/>
      <c r="CX1156" s="116"/>
      <c r="CY1156" s="117"/>
      <c r="CZ1156" s="116"/>
      <c r="DA1156" s="113"/>
      <c r="DB1156" s="114"/>
      <c r="DC1156" s="64"/>
      <c r="DD1156" s="118"/>
    </row>
    <row r="1157" spans="1:108" s="119" customFormat="1" ht="24" outlineLevel="2">
      <c r="A1157" s="178">
        <v>40476</v>
      </c>
      <c r="B1157" s="164" t="s">
        <v>1258</v>
      </c>
      <c r="C1157" s="164" t="s">
        <v>2346</v>
      </c>
      <c r="D1157" s="166" t="s">
        <v>435</v>
      </c>
      <c r="E1157" s="163"/>
      <c r="F1157" s="105"/>
      <c r="G1157" s="105"/>
      <c r="H1157" s="105">
        <v>70</v>
      </c>
      <c r="I1157" s="105">
        <v>20</v>
      </c>
      <c r="J1157" s="105">
        <v>15</v>
      </c>
      <c r="K1157" s="105">
        <v>5</v>
      </c>
      <c r="L1157" s="105"/>
      <c r="M1157" s="105"/>
      <c r="N1157" s="105"/>
      <c r="O1157" s="105"/>
      <c r="P1157" s="105"/>
      <c r="Q1157" s="105"/>
      <c r="R1157" s="105"/>
      <c r="S1157" s="105"/>
      <c r="T1157" s="106"/>
      <c r="U1157" s="130"/>
      <c r="V1157" s="1"/>
      <c r="W1157" s="68">
        <f t="shared" si="286"/>
        <v>0</v>
      </c>
      <c r="X1157" s="68">
        <f t="shared" si="287"/>
        <v>0</v>
      </c>
      <c r="Y1157" s="68">
        <f t="shared" si="288"/>
        <v>0</v>
      </c>
      <c r="Z1157" s="68">
        <f t="shared" si="289"/>
        <v>0</v>
      </c>
      <c r="AA1157" s="68"/>
      <c r="AB1157" s="68">
        <v>0</v>
      </c>
      <c r="AC1157" s="69">
        <f t="shared" si="290"/>
        <v>0</v>
      </c>
      <c r="AD1157" s="70">
        <v>0</v>
      </c>
      <c r="AE1157" s="63">
        <v>40478</v>
      </c>
      <c r="AF1157" s="72"/>
      <c r="AG1157" s="63" t="s">
        <v>938</v>
      </c>
      <c r="AH1157" s="23" t="s">
        <v>939</v>
      </c>
      <c r="AI1157" s="60"/>
      <c r="AJ1157" s="124" t="s">
        <v>1608</v>
      </c>
      <c r="AK1157" s="121" t="s">
        <v>2347</v>
      </c>
      <c r="AL1157" s="107"/>
      <c r="AM1157" s="108"/>
      <c r="AN1157" s="109"/>
      <c r="AO1157" s="108"/>
      <c r="AP1157" s="108"/>
      <c r="AQ1157" s="108"/>
      <c r="AR1157" s="108"/>
      <c r="AS1157" s="108"/>
      <c r="AT1157" s="108"/>
      <c r="AU1157" s="108"/>
      <c r="AV1157" s="108"/>
      <c r="AW1157" s="108"/>
      <c r="AX1157" s="108"/>
      <c r="AY1157" s="108"/>
      <c r="AZ1157" s="108"/>
      <c r="BA1157" s="108"/>
      <c r="BB1157" s="108"/>
      <c r="BC1157" s="108"/>
      <c r="BD1157" s="108"/>
      <c r="BE1157" s="108"/>
      <c r="BF1157" s="108"/>
      <c r="BG1157" s="108"/>
      <c r="BH1157" s="108"/>
      <c r="BI1157" s="108"/>
      <c r="BJ1157" s="108"/>
      <c r="BK1157" s="108"/>
      <c r="BL1157" s="108"/>
      <c r="BM1157" s="108"/>
      <c r="BN1157" s="108"/>
      <c r="BO1157" s="108"/>
      <c r="BP1157" s="108"/>
      <c r="BQ1157" s="108"/>
      <c r="BR1157" s="108"/>
      <c r="BS1157" s="108"/>
      <c r="BT1157" s="108"/>
      <c r="BU1157" s="108"/>
      <c r="BV1157" s="108"/>
      <c r="BW1157" s="108"/>
      <c r="BX1157" s="108"/>
      <c r="BY1157" s="108"/>
      <c r="BZ1157" s="108"/>
      <c r="CA1157" s="108"/>
      <c r="CB1157" s="108"/>
      <c r="CC1157" s="108"/>
      <c r="CD1157" s="108"/>
      <c r="CE1157" s="108"/>
      <c r="CF1157" s="108"/>
      <c r="CG1157" s="108"/>
      <c r="CH1157" s="108"/>
      <c r="CI1157" s="108"/>
      <c r="CJ1157" s="108"/>
      <c r="CK1157" s="108"/>
      <c r="CL1157" s="108"/>
      <c r="CM1157" s="108"/>
      <c r="CN1157" s="110"/>
      <c r="CO1157" s="111"/>
      <c r="CP1157" s="110"/>
      <c r="CQ1157" s="111"/>
      <c r="CR1157" s="110"/>
      <c r="CS1157" s="111"/>
      <c r="CT1157" s="112">
        <f t="shared" si="291"/>
        <v>0</v>
      </c>
      <c r="CU1157" s="113"/>
      <c r="CV1157" s="114"/>
      <c r="CW1157" s="115"/>
      <c r="CX1157" s="116"/>
      <c r="CY1157" s="117"/>
      <c r="CZ1157" s="116"/>
      <c r="DA1157" s="113"/>
      <c r="DB1157" s="114"/>
      <c r="DC1157" s="64"/>
      <c r="DD1157" s="118"/>
    </row>
    <row r="1158" spans="1:108" s="119" customFormat="1" ht="22.5" customHeight="1" outlineLevel="1">
      <c r="A1158" s="178"/>
      <c r="B1158" s="192" t="s">
        <v>2459</v>
      </c>
      <c r="C1158" s="164"/>
      <c r="D1158" s="166"/>
      <c r="E1158" s="163">
        <f t="shared" ref="E1158:T1158" si="292">SUBTOTAL(9,E1150:E1157)</f>
        <v>0</v>
      </c>
      <c r="F1158" s="105">
        <f t="shared" si="292"/>
        <v>0</v>
      </c>
      <c r="G1158" s="105">
        <f t="shared" si="292"/>
        <v>0</v>
      </c>
      <c r="H1158" s="105">
        <f t="shared" si="292"/>
        <v>779</v>
      </c>
      <c r="I1158" s="105">
        <f t="shared" si="292"/>
        <v>140</v>
      </c>
      <c r="J1158" s="105">
        <f t="shared" si="292"/>
        <v>15</v>
      </c>
      <c r="K1158" s="105">
        <f t="shared" si="292"/>
        <v>124</v>
      </c>
      <c r="L1158" s="105">
        <f t="shared" si="292"/>
        <v>0</v>
      </c>
      <c r="M1158" s="105">
        <f t="shared" si="292"/>
        <v>0</v>
      </c>
      <c r="N1158" s="105">
        <f t="shared" si="292"/>
        <v>0</v>
      </c>
      <c r="O1158" s="105">
        <f t="shared" si="292"/>
        <v>0</v>
      </c>
      <c r="P1158" s="105">
        <f t="shared" si="292"/>
        <v>0</v>
      </c>
      <c r="Q1158" s="105">
        <f t="shared" si="292"/>
        <v>0</v>
      </c>
      <c r="R1158" s="105">
        <f t="shared" si="292"/>
        <v>0</v>
      </c>
      <c r="S1158" s="105">
        <f t="shared" si="292"/>
        <v>0</v>
      </c>
      <c r="T1158" s="106">
        <f t="shared" si="292"/>
        <v>0</v>
      </c>
      <c r="U1158" s="130"/>
      <c r="V1158" s="1"/>
      <c r="W1158" s="68">
        <f t="shared" ref="W1158:AD1158" si="293">SUBTOTAL(9,W1150:W1157)</f>
        <v>0</v>
      </c>
      <c r="X1158" s="68">
        <f t="shared" si="293"/>
        <v>0</v>
      </c>
      <c r="Y1158" s="68">
        <f t="shared" si="293"/>
        <v>0</v>
      </c>
      <c r="Z1158" s="68">
        <f t="shared" si="293"/>
        <v>0</v>
      </c>
      <c r="AA1158" s="68">
        <f t="shared" si="293"/>
        <v>0</v>
      </c>
      <c r="AB1158" s="68">
        <f t="shared" si="293"/>
        <v>0</v>
      </c>
      <c r="AC1158" s="69">
        <f t="shared" si="293"/>
        <v>0</v>
      </c>
      <c r="AD1158" s="70">
        <f t="shared" si="293"/>
        <v>22676500</v>
      </c>
      <c r="AE1158" s="63"/>
      <c r="AF1158" s="72"/>
      <c r="AG1158" s="63"/>
      <c r="AH1158" s="23"/>
      <c r="AI1158" s="60"/>
      <c r="AJ1158" s="124"/>
      <c r="AK1158" s="121"/>
      <c r="AL1158" s="107"/>
      <c r="AM1158" s="108"/>
      <c r="AN1158" s="109"/>
      <c r="AO1158" s="108"/>
      <c r="AP1158" s="108"/>
      <c r="AQ1158" s="108"/>
      <c r="AR1158" s="108"/>
      <c r="AS1158" s="108"/>
      <c r="AT1158" s="108"/>
      <c r="AU1158" s="108"/>
      <c r="AV1158" s="108"/>
      <c r="AW1158" s="108"/>
      <c r="AX1158" s="108"/>
      <c r="AY1158" s="108"/>
      <c r="AZ1158" s="108"/>
      <c r="BA1158" s="108"/>
      <c r="BB1158" s="108"/>
      <c r="BC1158" s="108"/>
      <c r="BD1158" s="108"/>
      <c r="BE1158" s="108"/>
      <c r="BF1158" s="108"/>
      <c r="BG1158" s="108"/>
      <c r="BH1158" s="108"/>
      <c r="BI1158" s="108"/>
      <c r="BJ1158" s="108"/>
      <c r="BK1158" s="108"/>
      <c r="BL1158" s="108"/>
      <c r="BM1158" s="108"/>
      <c r="BN1158" s="108"/>
      <c r="BO1158" s="108"/>
      <c r="BP1158" s="108"/>
      <c r="BQ1158" s="108"/>
      <c r="BR1158" s="108"/>
      <c r="BS1158" s="108"/>
      <c r="BT1158" s="108"/>
      <c r="BU1158" s="108"/>
      <c r="BV1158" s="108"/>
      <c r="BW1158" s="108"/>
      <c r="BX1158" s="108"/>
      <c r="BY1158" s="108"/>
      <c r="BZ1158" s="108"/>
      <c r="CA1158" s="108"/>
      <c r="CB1158" s="108"/>
      <c r="CC1158" s="108"/>
      <c r="CD1158" s="108"/>
      <c r="CE1158" s="108"/>
      <c r="CF1158" s="108"/>
      <c r="CG1158" s="108"/>
      <c r="CH1158" s="108"/>
      <c r="CI1158" s="108"/>
      <c r="CJ1158" s="108"/>
      <c r="CK1158" s="108"/>
      <c r="CL1158" s="108"/>
      <c r="CM1158" s="108"/>
      <c r="CN1158" s="110"/>
      <c r="CO1158" s="111"/>
      <c r="CP1158" s="110"/>
      <c r="CQ1158" s="111"/>
      <c r="CR1158" s="110"/>
      <c r="CS1158" s="111"/>
      <c r="CT1158" s="112"/>
      <c r="CU1158" s="113"/>
      <c r="CV1158" s="114"/>
      <c r="CW1158" s="115"/>
      <c r="CX1158" s="116"/>
      <c r="CY1158" s="117"/>
      <c r="CZ1158" s="116"/>
      <c r="DA1158" s="113"/>
      <c r="DB1158" s="114"/>
      <c r="DC1158" s="64"/>
      <c r="DD1158" s="118"/>
    </row>
    <row r="1159" spans="1:108" s="119" customFormat="1" ht="24" outlineLevel="2">
      <c r="A1159" s="178">
        <v>40277</v>
      </c>
      <c r="B1159" s="82" t="s">
        <v>958</v>
      </c>
      <c r="C1159" s="82" t="s">
        <v>943</v>
      </c>
      <c r="D1159" s="165" t="s">
        <v>944</v>
      </c>
      <c r="E1159" s="167">
        <v>1</v>
      </c>
      <c r="F1159" s="66"/>
      <c r="G1159" s="66"/>
      <c r="H1159" s="66"/>
      <c r="I1159" s="66"/>
      <c r="J1159" s="66"/>
      <c r="K1159" s="66"/>
      <c r="L1159" s="66"/>
      <c r="M1159" s="66"/>
      <c r="N1159" s="66"/>
      <c r="O1159" s="66"/>
      <c r="P1159" s="66"/>
      <c r="Q1159" s="66"/>
      <c r="R1159" s="66"/>
      <c r="S1159" s="66"/>
      <c r="T1159" s="67"/>
      <c r="U1159" s="151"/>
      <c r="V1159" s="1"/>
      <c r="W1159" s="68">
        <f t="shared" ref="W1159:W1201" si="294">CT1159</f>
        <v>0</v>
      </c>
      <c r="X1159" s="68">
        <f t="shared" ref="X1159:X1201" si="295">CX1159</f>
        <v>0</v>
      </c>
      <c r="Y1159" s="68">
        <f t="shared" ref="Y1159:Y1201" si="296">CZ1159+DB1159</f>
        <v>0</v>
      </c>
      <c r="Z1159" s="68">
        <f t="shared" ref="Z1159:Z1201" si="297">CV1159</f>
        <v>0</v>
      </c>
      <c r="AA1159" s="68"/>
      <c r="AB1159" s="68">
        <v>0</v>
      </c>
      <c r="AC1159" s="69">
        <f t="shared" ref="AC1159:AC1201" si="298">W1159+X1159+Y1159+Z1159+AA1159+AB1159</f>
        <v>0</v>
      </c>
      <c r="AD1159" s="70">
        <v>0</v>
      </c>
      <c r="AE1159" s="63">
        <v>40278</v>
      </c>
      <c r="AF1159" s="72"/>
      <c r="AG1159" s="63" t="s">
        <v>938</v>
      </c>
      <c r="AH1159" s="23" t="s">
        <v>939</v>
      </c>
      <c r="AI1159" s="60"/>
      <c r="AJ1159" s="133" t="s">
        <v>1608</v>
      </c>
      <c r="AK1159" s="73" t="s">
        <v>945</v>
      </c>
      <c r="AL1159" s="3"/>
      <c r="AM1159" s="4"/>
      <c r="AN1159" s="5"/>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6"/>
      <c r="CO1159" s="7"/>
      <c r="CP1159" s="6"/>
      <c r="CQ1159" s="7"/>
      <c r="CR1159" s="6"/>
      <c r="CS1159" s="7"/>
      <c r="CT1159" s="8">
        <f t="shared" ref="CT1159:CT1201" si="299">AM1159+AO1159+AQ1159+AS1159+AU1159+AW1159+AY1159+BA1159+BC1159+BE1159+BG1159+BI1159+BK1159+BM1159+BO1159+BQ1159+BS1159+BU1159+BW1159+BY1159+CA1159+CC1159+CE1159+CG1159+CI1159+CK1159+CM1159+CO1159+CQ1159+CS1159</f>
        <v>0</v>
      </c>
      <c r="CU1159" s="9"/>
      <c r="CV1159" s="10"/>
      <c r="CW1159" s="11"/>
      <c r="CX1159" s="12"/>
      <c r="CY1159" s="26"/>
      <c r="CZ1159" s="12"/>
      <c r="DA1159" s="9"/>
      <c r="DB1159" s="10"/>
      <c r="DC1159" s="64"/>
      <c r="DD1159" s="22"/>
    </row>
    <row r="1160" spans="1:108" s="119" customFormat="1" ht="41.25" outlineLevel="2">
      <c r="A1160" s="178">
        <v>40278</v>
      </c>
      <c r="B1160" s="82" t="s">
        <v>958</v>
      </c>
      <c r="C1160" s="82" t="s">
        <v>959</v>
      </c>
      <c r="D1160" s="165" t="s">
        <v>1262</v>
      </c>
      <c r="E1160" s="167"/>
      <c r="F1160" s="66"/>
      <c r="G1160" s="66"/>
      <c r="H1160" s="66">
        <v>10</v>
      </c>
      <c r="I1160" s="66">
        <v>2</v>
      </c>
      <c r="J1160" s="66"/>
      <c r="K1160" s="66">
        <v>2</v>
      </c>
      <c r="L1160" s="66"/>
      <c r="M1160" s="66"/>
      <c r="N1160" s="66"/>
      <c r="O1160" s="66"/>
      <c r="P1160" s="66"/>
      <c r="Q1160" s="66"/>
      <c r="R1160" s="66"/>
      <c r="S1160" s="66"/>
      <c r="T1160" s="67"/>
      <c r="U1160" s="151" t="s">
        <v>946</v>
      </c>
      <c r="V1160" s="1"/>
      <c r="W1160" s="68">
        <f t="shared" si="294"/>
        <v>0</v>
      </c>
      <c r="X1160" s="68">
        <f t="shared" si="295"/>
        <v>0</v>
      </c>
      <c r="Y1160" s="68">
        <f t="shared" si="296"/>
        <v>0</v>
      </c>
      <c r="Z1160" s="68">
        <f t="shared" si="297"/>
        <v>0</v>
      </c>
      <c r="AA1160" s="68"/>
      <c r="AB1160" s="68">
        <v>0</v>
      </c>
      <c r="AC1160" s="69">
        <f t="shared" si="298"/>
        <v>0</v>
      </c>
      <c r="AD1160" s="70">
        <v>0</v>
      </c>
      <c r="AE1160" s="63">
        <v>40278</v>
      </c>
      <c r="AF1160" s="72"/>
      <c r="AG1160" s="63" t="s">
        <v>938</v>
      </c>
      <c r="AH1160" s="23" t="s">
        <v>939</v>
      </c>
      <c r="AI1160" s="60"/>
      <c r="AJ1160" s="133" t="s">
        <v>1608</v>
      </c>
      <c r="AK1160" s="73" t="s">
        <v>947</v>
      </c>
      <c r="AL1160" s="3"/>
      <c r="AM1160" s="4"/>
      <c r="AN1160" s="5"/>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6"/>
      <c r="CO1160" s="7"/>
      <c r="CP1160" s="6"/>
      <c r="CQ1160" s="7"/>
      <c r="CR1160" s="6"/>
      <c r="CS1160" s="7"/>
      <c r="CT1160" s="8">
        <f t="shared" si="299"/>
        <v>0</v>
      </c>
      <c r="CU1160" s="9"/>
      <c r="CV1160" s="10"/>
      <c r="CW1160" s="11"/>
      <c r="CX1160" s="12"/>
      <c r="CY1160" s="26"/>
      <c r="CZ1160" s="12"/>
      <c r="DA1160" s="9"/>
      <c r="DB1160" s="10"/>
      <c r="DC1160" s="64"/>
      <c r="DD1160" s="22"/>
    </row>
    <row r="1161" spans="1:108" s="119" customFormat="1" ht="36" outlineLevel="2">
      <c r="A1161" s="178">
        <v>40307</v>
      </c>
      <c r="B1161" s="82" t="s">
        <v>958</v>
      </c>
      <c r="C1161" s="82" t="s">
        <v>943</v>
      </c>
      <c r="D1161" s="165" t="s">
        <v>435</v>
      </c>
      <c r="E1161" s="167">
        <v>1</v>
      </c>
      <c r="F1161" s="66"/>
      <c r="G1161" s="66"/>
      <c r="H1161" s="66"/>
      <c r="I1161" s="66"/>
      <c r="J1161" s="66"/>
      <c r="K1161" s="66"/>
      <c r="L1161" s="66"/>
      <c r="M1161" s="66"/>
      <c r="N1161" s="66"/>
      <c r="O1161" s="66"/>
      <c r="P1161" s="66"/>
      <c r="Q1161" s="66"/>
      <c r="R1161" s="66"/>
      <c r="S1161" s="66"/>
      <c r="T1161" s="67"/>
      <c r="U1161" s="151"/>
      <c r="V1161" s="1"/>
      <c r="W1161" s="68">
        <f t="shared" si="294"/>
        <v>0</v>
      </c>
      <c r="X1161" s="68">
        <f t="shared" si="295"/>
        <v>0</v>
      </c>
      <c r="Y1161" s="68">
        <f t="shared" si="296"/>
        <v>0</v>
      </c>
      <c r="Z1161" s="68">
        <f t="shared" si="297"/>
        <v>0</v>
      </c>
      <c r="AA1161" s="68"/>
      <c r="AB1161" s="68">
        <v>0</v>
      </c>
      <c r="AC1161" s="69">
        <f t="shared" si="298"/>
        <v>0</v>
      </c>
      <c r="AD1161" s="70">
        <v>0</v>
      </c>
      <c r="AE1161" s="63">
        <v>40309</v>
      </c>
      <c r="AF1161" s="72"/>
      <c r="AG1161" s="63" t="s">
        <v>938</v>
      </c>
      <c r="AH1161" s="23" t="s">
        <v>939</v>
      </c>
      <c r="AI1161" s="60"/>
      <c r="AJ1161" s="133" t="s">
        <v>1608</v>
      </c>
      <c r="AK1161" s="73" t="s">
        <v>1679</v>
      </c>
      <c r="AL1161" s="3"/>
      <c r="AM1161" s="4"/>
      <c r="AN1161" s="5"/>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6"/>
      <c r="CO1161" s="7"/>
      <c r="CP1161" s="6"/>
      <c r="CQ1161" s="7"/>
      <c r="CR1161" s="6"/>
      <c r="CS1161" s="7"/>
      <c r="CT1161" s="8">
        <f t="shared" si="299"/>
        <v>0</v>
      </c>
      <c r="CU1161" s="9"/>
      <c r="CV1161" s="10"/>
      <c r="CW1161" s="11"/>
      <c r="CX1161" s="12"/>
      <c r="CY1161" s="26"/>
      <c r="CZ1161" s="12"/>
      <c r="DA1161" s="9"/>
      <c r="DB1161" s="10"/>
      <c r="DC1161" s="64"/>
      <c r="DD1161" s="22"/>
    </row>
    <row r="1162" spans="1:108" s="119" customFormat="1" ht="45" outlineLevel="2">
      <c r="A1162" s="178">
        <v>40360</v>
      </c>
      <c r="B1162" s="82" t="s">
        <v>958</v>
      </c>
      <c r="C1162" s="82" t="s">
        <v>943</v>
      </c>
      <c r="D1162" s="165" t="s">
        <v>435</v>
      </c>
      <c r="E1162" s="167"/>
      <c r="F1162" s="66"/>
      <c r="G1162" s="66"/>
      <c r="H1162" s="66">
        <v>50</v>
      </c>
      <c r="I1162" s="66">
        <v>10</v>
      </c>
      <c r="J1162" s="66"/>
      <c r="K1162" s="66">
        <v>10</v>
      </c>
      <c r="L1162" s="66"/>
      <c r="M1162" s="66"/>
      <c r="N1162" s="66"/>
      <c r="O1162" s="66"/>
      <c r="P1162" s="66"/>
      <c r="Q1162" s="66"/>
      <c r="R1162" s="66"/>
      <c r="S1162" s="66"/>
      <c r="T1162" s="67"/>
      <c r="U1162" s="151" t="s">
        <v>1931</v>
      </c>
      <c r="V1162" s="1">
        <v>40386</v>
      </c>
      <c r="W1162" s="68">
        <f t="shared" si="294"/>
        <v>1344000</v>
      </c>
      <c r="X1162" s="68">
        <f t="shared" si="295"/>
        <v>0</v>
      </c>
      <c r="Y1162" s="68">
        <f t="shared" si="296"/>
        <v>1925000</v>
      </c>
      <c r="Z1162" s="68">
        <f t="shared" si="297"/>
        <v>0</v>
      </c>
      <c r="AA1162" s="68"/>
      <c r="AB1162" s="68">
        <v>0</v>
      </c>
      <c r="AC1162" s="69">
        <f t="shared" si="298"/>
        <v>3269000</v>
      </c>
      <c r="AD1162" s="70">
        <v>0</v>
      </c>
      <c r="AE1162" s="63">
        <v>40365</v>
      </c>
      <c r="AF1162" s="72">
        <v>32813</v>
      </c>
      <c r="AG1162" s="63" t="s">
        <v>954</v>
      </c>
      <c r="AH1162" s="23" t="s">
        <v>955</v>
      </c>
      <c r="AI1162" s="60">
        <v>218</v>
      </c>
      <c r="AJ1162" s="133" t="s">
        <v>415</v>
      </c>
      <c r="AK1162" s="73" t="s">
        <v>1442</v>
      </c>
      <c r="AL1162" s="3"/>
      <c r="AM1162" s="4"/>
      <c r="AN1162" s="5"/>
      <c r="AO1162" s="4"/>
      <c r="AP1162" s="4"/>
      <c r="AQ1162" s="4"/>
      <c r="AR1162" s="4"/>
      <c r="AS1162" s="4"/>
      <c r="AT1162" s="4"/>
      <c r="AU1162" s="4"/>
      <c r="AV1162" s="4"/>
      <c r="AW1162" s="4"/>
      <c r="AX1162" s="4">
        <v>24</v>
      </c>
      <c r="AY1162" s="4">
        <f>24*56000</f>
        <v>1344000</v>
      </c>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6"/>
      <c r="CO1162" s="7"/>
      <c r="CP1162" s="6"/>
      <c r="CQ1162" s="7"/>
      <c r="CR1162" s="6"/>
      <c r="CS1162" s="7"/>
      <c r="CT1162" s="8">
        <f t="shared" si="299"/>
        <v>1344000</v>
      </c>
      <c r="CU1162" s="9"/>
      <c r="CV1162" s="10"/>
      <c r="CW1162" s="11"/>
      <c r="CX1162" s="12"/>
      <c r="CY1162" s="26"/>
      <c r="CZ1162" s="12"/>
      <c r="DA1162" s="9">
        <f>55+20</f>
        <v>75</v>
      </c>
      <c r="DB1162" s="10">
        <f>55*27000+20*22000</f>
        <v>1925000</v>
      </c>
      <c r="DC1162" s="64"/>
      <c r="DD1162" s="22"/>
    </row>
    <row r="1163" spans="1:108" s="119" customFormat="1" ht="48" outlineLevel="2">
      <c r="A1163" s="178">
        <v>40360</v>
      </c>
      <c r="B1163" s="82" t="s">
        <v>958</v>
      </c>
      <c r="C1163" s="82" t="s">
        <v>1929</v>
      </c>
      <c r="D1163" s="165" t="s">
        <v>435</v>
      </c>
      <c r="E1163" s="167"/>
      <c r="F1163" s="66"/>
      <c r="G1163" s="66"/>
      <c r="H1163" s="66">
        <f>46*5</f>
        <v>230</v>
      </c>
      <c r="I1163" s="66">
        <v>46</v>
      </c>
      <c r="J1163" s="66"/>
      <c r="K1163" s="66">
        <v>46</v>
      </c>
      <c r="L1163" s="66"/>
      <c r="M1163" s="66"/>
      <c r="N1163" s="66"/>
      <c r="O1163" s="66"/>
      <c r="P1163" s="66"/>
      <c r="Q1163" s="66"/>
      <c r="R1163" s="66"/>
      <c r="S1163" s="66"/>
      <c r="T1163" s="67"/>
      <c r="U1163" s="151"/>
      <c r="V1163" s="1">
        <v>40386</v>
      </c>
      <c r="W1163" s="68">
        <f t="shared" si="294"/>
        <v>4480000</v>
      </c>
      <c r="X1163" s="68">
        <f t="shared" si="295"/>
        <v>0</v>
      </c>
      <c r="Y1163" s="68">
        <f t="shared" si="296"/>
        <v>7990000</v>
      </c>
      <c r="Z1163" s="68">
        <f t="shared" si="297"/>
        <v>0</v>
      </c>
      <c r="AA1163" s="68"/>
      <c r="AB1163" s="68">
        <v>0</v>
      </c>
      <c r="AC1163" s="69">
        <f t="shared" si="298"/>
        <v>12470000</v>
      </c>
      <c r="AD1163" s="70">
        <v>0</v>
      </c>
      <c r="AE1163" s="63">
        <v>40365</v>
      </c>
      <c r="AF1163" s="72">
        <v>32813</v>
      </c>
      <c r="AG1163" s="63" t="s">
        <v>954</v>
      </c>
      <c r="AH1163" s="23" t="s">
        <v>955</v>
      </c>
      <c r="AI1163" s="60">
        <v>218</v>
      </c>
      <c r="AJ1163" s="133" t="s">
        <v>415</v>
      </c>
      <c r="AK1163" s="73" t="s">
        <v>1930</v>
      </c>
      <c r="AL1163" s="3"/>
      <c r="AM1163" s="4"/>
      <c r="AN1163" s="5"/>
      <c r="AO1163" s="4"/>
      <c r="AP1163" s="4"/>
      <c r="AQ1163" s="4"/>
      <c r="AR1163" s="4"/>
      <c r="AS1163" s="4"/>
      <c r="AT1163" s="4"/>
      <c r="AU1163" s="4"/>
      <c r="AV1163" s="4"/>
      <c r="AW1163" s="4"/>
      <c r="AX1163" s="4">
        <v>80</v>
      </c>
      <c r="AY1163" s="4">
        <f>80*56000</f>
        <v>4480000</v>
      </c>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6"/>
      <c r="CO1163" s="7"/>
      <c r="CP1163" s="6"/>
      <c r="CQ1163" s="7"/>
      <c r="CR1163" s="6"/>
      <c r="CS1163" s="7"/>
      <c r="CT1163" s="8">
        <f t="shared" si="299"/>
        <v>4480000</v>
      </c>
      <c r="CU1163" s="9"/>
      <c r="CV1163" s="10"/>
      <c r="CW1163" s="11"/>
      <c r="CX1163" s="12"/>
      <c r="CY1163" s="26"/>
      <c r="CZ1163" s="12"/>
      <c r="DA1163" s="9">
        <f>190+130</f>
        <v>320</v>
      </c>
      <c r="DB1163" s="10">
        <f>190*27000+130*22000</f>
        <v>7990000</v>
      </c>
      <c r="DC1163" s="64"/>
      <c r="DD1163" s="22"/>
    </row>
    <row r="1164" spans="1:108" s="119" customFormat="1" ht="45" outlineLevel="2">
      <c r="A1164" s="178">
        <v>40360</v>
      </c>
      <c r="B1164" s="82" t="s">
        <v>958</v>
      </c>
      <c r="C1164" s="82" t="s">
        <v>933</v>
      </c>
      <c r="D1164" s="165" t="s">
        <v>435</v>
      </c>
      <c r="E1164" s="167"/>
      <c r="F1164" s="66"/>
      <c r="G1164" s="66"/>
      <c r="H1164" s="66">
        <f>21*5</f>
        <v>105</v>
      </c>
      <c r="I1164" s="66">
        <v>21</v>
      </c>
      <c r="J1164" s="66"/>
      <c r="K1164" s="66">
        <v>21</v>
      </c>
      <c r="L1164" s="66"/>
      <c r="M1164" s="66"/>
      <c r="N1164" s="66"/>
      <c r="O1164" s="66"/>
      <c r="P1164" s="66"/>
      <c r="Q1164" s="66"/>
      <c r="R1164" s="66"/>
      <c r="S1164" s="66"/>
      <c r="T1164" s="67"/>
      <c r="U1164" s="151"/>
      <c r="V1164" s="1">
        <v>40386</v>
      </c>
      <c r="W1164" s="68">
        <f t="shared" si="294"/>
        <v>3080000</v>
      </c>
      <c r="X1164" s="68">
        <f t="shared" si="295"/>
        <v>0</v>
      </c>
      <c r="Y1164" s="68">
        <f t="shared" si="296"/>
        <v>4290000</v>
      </c>
      <c r="Z1164" s="68">
        <f t="shared" si="297"/>
        <v>0</v>
      </c>
      <c r="AA1164" s="68"/>
      <c r="AB1164" s="68">
        <v>0</v>
      </c>
      <c r="AC1164" s="69">
        <f t="shared" si="298"/>
        <v>7370000</v>
      </c>
      <c r="AD1164" s="70">
        <v>0</v>
      </c>
      <c r="AE1164" s="63">
        <v>40365</v>
      </c>
      <c r="AF1164" s="72">
        <v>32813</v>
      </c>
      <c r="AG1164" s="63" t="s">
        <v>954</v>
      </c>
      <c r="AH1164" s="23" t="s">
        <v>955</v>
      </c>
      <c r="AI1164" s="60">
        <v>218</v>
      </c>
      <c r="AJ1164" s="133" t="s">
        <v>415</v>
      </c>
      <c r="AK1164" s="73" t="s">
        <v>1960</v>
      </c>
      <c r="AL1164" s="3"/>
      <c r="AM1164" s="4"/>
      <c r="AN1164" s="5"/>
      <c r="AO1164" s="4"/>
      <c r="AP1164" s="4"/>
      <c r="AQ1164" s="4"/>
      <c r="AR1164" s="4"/>
      <c r="AS1164" s="4"/>
      <c r="AT1164" s="4"/>
      <c r="AU1164" s="4"/>
      <c r="AV1164" s="4"/>
      <c r="AW1164" s="4"/>
      <c r="AX1164" s="4">
        <v>55</v>
      </c>
      <c r="AY1164" s="4">
        <f>55*56000</f>
        <v>3080000</v>
      </c>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6"/>
      <c r="CO1164" s="7"/>
      <c r="CP1164" s="6"/>
      <c r="CQ1164" s="7"/>
      <c r="CR1164" s="6"/>
      <c r="CS1164" s="7"/>
      <c r="CT1164" s="8">
        <f t="shared" si="299"/>
        <v>3080000</v>
      </c>
      <c r="CU1164" s="9"/>
      <c r="CV1164" s="10"/>
      <c r="CW1164" s="11"/>
      <c r="CX1164" s="12"/>
      <c r="CY1164" s="26"/>
      <c r="CZ1164" s="12"/>
      <c r="DA1164" s="9">
        <f>110+60</f>
        <v>170</v>
      </c>
      <c r="DB1164" s="10">
        <f>110*27000+60*22000</f>
        <v>4290000</v>
      </c>
      <c r="DC1164" s="64"/>
      <c r="DD1164" s="22">
        <v>1145</v>
      </c>
    </row>
    <row r="1165" spans="1:108" s="119" customFormat="1" ht="24" outlineLevel="2">
      <c r="A1165" s="178">
        <v>40369</v>
      </c>
      <c r="B1165" s="82" t="s">
        <v>958</v>
      </c>
      <c r="C1165" s="82" t="s">
        <v>959</v>
      </c>
      <c r="D1165" s="165" t="s">
        <v>435</v>
      </c>
      <c r="E1165" s="167"/>
      <c r="F1165" s="66"/>
      <c r="G1165" s="66"/>
      <c r="H1165" s="66">
        <v>10</v>
      </c>
      <c r="I1165" s="66">
        <v>2</v>
      </c>
      <c r="J1165" s="66"/>
      <c r="K1165" s="66">
        <v>2</v>
      </c>
      <c r="L1165" s="66"/>
      <c r="M1165" s="66"/>
      <c r="N1165" s="66"/>
      <c r="O1165" s="66"/>
      <c r="P1165" s="66"/>
      <c r="Q1165" s="66"/>
      <c r="R1165" s="66"/>
      <c r="S1165" s="66"/>
      <c r="T1165" s="67"/>
      <c r="U1165" s="151" t="s">
        <v>974</v>
      </c>
      <c r="V1165" s="1"/>
      <c r="W1165" s="68">
        <f t="shared" si="294"/>
        <v>0</v>
      </c>
      <c r="X1165" s="68">
        <f t="shared" si="295"/>
        <v>0</v>
      </c>
      <c r="Y1165" s="68">
        <f t="shared" si="296"/>
        <v>0</v>
      </c>
      <c r="Z1165" s="68">
        <f t="shared" si="297"/>
        <v>0</v>
      </c>
      <c r="AA1165" s="68"/>
      <c r="AB1165" s="68">
        <v>0</v>
      </c>
      <c r="AC1165" s="69">
        <f t="shared" si="298"/>
        <v>0</v>
      </c>
      <c r="AD1165" s="70">
        <v>0</v>
      </c>
      <c r="AE1165" s="63">
        <v>40371</v>
      </c>
      <c r="AF1165" s="72"/>
      <c r="AG1165" s="63" t="s">
        <v>938</v>
      </c>
      <c r="AH1165" s="23" t="s">
        <v>939</v>
      </c>
      <c r="AI1165" s="60"/>
      <c r="AJ1165" s="133" t="s">
        <v>1608</v>
      </c>
      <c r="AK1165" s="73" t="s">
        <v>1465</v>
      </c>
      <c r="AL1165" s="3"/>
      <c r="AM1165" s="4"/>
      <c r="AN1165" s="5"/>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6"/>
      <c r="CO1165" s="7"/>
      <c r="CP1165" s="6"/>
      <c r="CQ1165" s="7"/>
      <c r="CR1165" s="6"/>
      <c r="CS1165" s="7"/>
      <c r="CT1165" s="8">
        <f t="shared" si="299"/>
        <v>0</v>
      </c>
      <c r="CU1165" s="9"/>
      <c r="CV1165" s="10"/>
      <c r="CW1165" s="11"/>
      <c r="CX1165" s="12"/>
      <c r="CY1165" s="26"/>
      <c r="CZ1165" s="12"/>
      <c r="DA1165" s="9"/>
      <c r="DB1165" s="10"/>
      <c r="DC1165" s="64"/>
      <c r="DD1165" s="22"/>
    </row>
    <row r="1166" spans="1:108" s="119" customFormat="1" ht="24" outlineLevel="2">
      <c r="A1166" s="178">
        <v>40385</v>
      </c>
      <c r="B1166" s="82" t="s">
        <v>958</v>
      </c>
      <c r="C1166" s="82" t="s">
        <v>959</v>
      </c>
      <c r="D1166" s="165" t="s">
        <v>435</v>
      </c>
      <c r="E1166" s="167"/>
      <c r="F1166" s="66"/>
      <c r="G1166" s="66"/>
      <c r="H1166" s="66">
        <v>30</v>
      </c>
      <c r="I1166" s="66">
        <v>6</v>
      </c>
      <c r="J1166" s="66"/>
      <c r="K1166" s="66">
        <v>6</v>
      </c>
      <c r="L1166" s="66"/>
      <c r="M1166" s="66"/>
      <c r="N1166" s="66"/>
      <c r="O1166" s="66"/>
      <c r="P1166" s="66"/>
      <c r="Q1166" s="66"/>
      <c r="R1166" s="66"/>
      <c r="S1166" s="66"/>
      <c r="T1166" s="67"/>
      <c r="U1166" s="151"/>
      <c r="V1166" s="1"/>
      <c r="W1166" s="68">
        <f t="shared" si="294"/>
        <v>0</v>
      </c>
      <c r="X1166" s="68">
        <f t="shared" si="295"/>
        <v>0</v>
      </c>
      <c r="Y1166" s="68">
        <f t="shared" si="296"/>
        <v>0</v>
      </c>
      <c r="Z1166" s="68">
        <f t="shared" si="297"/>
        <v>0</v>
      </c>
      <c r="AA1166" s="68"/>
      <c r="AB1166" s="68">
        <v>0</v>
      </c>
      <c r="AC1166" s="69">
        <f t="shared" si="298"/>
        <v>0</v>
      </c>
      <c r="AD1166" s="70">
        <v>0</v>
      </c>
      <c r="AE1166" s="63">
        <v>40387</v>
      </c>
      <c r="AF1166" s="72"/>
      <c r="AG1166" s="63" t="s">
        <v>938</v>
      </c>
      <c r="AH1166" s="23" t="s">
        <v>939</v>
      </c>
      <c r="AI1166" s="60"/>
      <c r="AJ1166" s="133" t="s">
        <v>1608</v>
      </c>
      <c r="AK1166" s="73" t="s">
        <v>1170</v>
      </c>
      <c r="AL1166" s="3"/>
      <c r="AM1166" s="4"/>
      <c r="AN1166" s="5"/>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6"/>
      <c r="CO1166" s="7"/>
      <c r="CP1166" s="6"/>
      <c r="CQ1166" s="7"/>
      <c r="CR1166" s="6"/>
      <c r="CS1166" s="7"/>
      <c r="CT1166" s="8">
        <f t="shared" si="299"/>
        <v>0</v>
      </c>
      <c r="CU1166" s="9"/>
      <c r="CV1166" s="10"/>
      <c r="CW1166" s="11"/>
      <c r="CX1166" s="12"/>
      <c r="CY1166" s="26"/>
      <c r="CZ1166" s="12"/>
      <c r="DA1166" s="9"/>
      <c r="DB1166" s="10"/>
      <c r="DC1166" s="64"/>
      <c r="DD1166" s="22"/>
    </row>
    <row r="1167" spans="1:108" s="119" customFormat="1" ht="24" outlineLevel="2">
      <c r="A1167" s="178">
        <v>40387</v>
      </c>
      <c r="B1167" s="82" t="s">
        <v>958</v>
      </c>
      <c r="C1167" s="82" t="s">
        <v>933</v>
      </c>
      <c r="D1167" s="165" t="s">
        <v>435</v>
      </c>
      <c r="E1167" s="167"/>
      <c r="F1167" s="66"/>
      <c r="G1167" s="66"/>
      <c r="H1167" s="66">
        <v>10</v>
      </c>
      <c r="I1167" s="66">
        <v>2</v>
      </c>
      <c r="J1167" s="66"/>
      <c r="K1167" s="66">
        <v>2</v>
      </c>
      <c r="L1167" s="66"/>
      <c r="M1167" s="66"/>
      <c r="N1167" s="66"/>
      <c r="O1167" s="66"/>
      <c r="P1167" s="66"/>
      <c r="Q1167" s="66"/>
      <c r="R1167" s="66"/>
      <c r="S1167" s="66"/>
      <c r="T1167" s="67"/>
      <c r="U1167" s="151"/>
      <c r="V1167" s="1"/>
      <c r="W1167" s="68">
        <f t="shared" si="294"/>
        <v>0</v>
      </c>
      <c r="X1167" s="68">
        <f t="shared" si="295"/>
        <v>0</v>
      </c>
      <c r="Y1167" s="68">
        <f t="shared" si="296"/>
        <v>0</v>
      </c>
      <c r="Z1167" s="68">
        <f t="shared" si="297"/>
        <v>0</v>
      </c>
      <c r="AA1167" s="68"/>
      <c r="AB1167" s="68">
        <v>0</v>
      </c>
      <c r="AC1167" s="69">
        <f t="shared" si="298"/>
        <v>0</v>
      </c>
      <c r="AD1167" s="70">
        <v>0</v>
      </c>
      <c r="AE1167" s="63">
        <v>40388</v>
      </c>
      <c r="AF1167" s="72"/>
      <c r="AG1167" s="63" t="s">
        <v>938</v>
      </c>
      <c r="AH1167" s="23" t="s">
        <v>939</v>
      </c>
      <c r="AI1167" s="60"/>
      <c r="AJ1167" s="133" t="s">
        <v>1608</v>
      </c>
      <c r="AK1167" s="73" t="s">
        <v>1445</v>
      </c>
      <c r="AL1167" s="3"/>
      <c r="AM1167" s="4"/>
      <c r="AN1167" s="5"/>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6"/>
      <c r="CO1167" s="7"/>
      <c r="CP1167" s="6"/>
      <c r="CQ1167" s="7"/>
      <c r="CR1167" s="6"/>
      <c r="CS1167" s="7"/>
      <c r="CT1167" s="8">
        <f t="shared" si="299"/>
        <v>0</v>
      </c>
      <c r="CU1167" s="9"/>
      <c r="CV1167" s="10"/>
      <c r="CW1167" s="11"/>
      <c r="CX1167" s="12"/>
      <c r="CY1167" s="26"/>
      <c r="CZ1167" s="12"/>
      <c r="DA1167" s="9"/>
      <c r="DB1167" s="10"/>
      <c r="DC1167" s="64"/>
      <c r="DD1167" s="22"/>
    </row>
    <row r="1168" spans="1:108" s="119" customFormat="1" ht="36" outlineLevel="2">
      <c r="A1168" s="178">
        <v>40389</v>
      </c>
      <c r="B1168" s="82" t="s">
        <v>958</v>
      </c>
      <c r="C1168" s="82" t="s">
        <v>1973</v>
      </c>
      <c r="D1168" s="165" t="s">
        <v>1182</v>
      </c>
      <c r="E1168" s="167"/>
      <c r="F1168" s="66">
        <v>3</v>
      </c>
      <c r="G1168" s="66"/>
      <c r="H1168" s="66"/>
      <c r="I1168" s="66"/>
      <c r="J1168" s="66"/>
      <c r="K1168" s="66"/>
      <c r="L1168" s="66">
        <v>1</v>
      </c>
      <c r="M1168" s="66"/>
      <c r="N1168" s="66"/>
      <c r="O1168" s="66"/>
      <c r="P1168" s="66"/>
      <c r="Q1168" s="66"/>
      <c r="R1168" s="66"/>
      <c r="S1168" s="66"/>
      <c r="T1168" s="67"/>
      <c r="U1168" s="151"/>
      <c r="V1168" s="1"/>
      <c r="W1168" s="68">
        <f t="shared" si="294"/>
        <v>0</v>
      </c>
      <c r="X1168" s="68">
        <f t="shared" si="295"/>
        <v>0</v>
      </c>
      <c r="Y1168" s="68">
        <f t="shared" si="296"/>
        <v>0</v>
      </c>
      <c r="Z1168" s="68">
        <f t="shared" si="297"/>
        <v>0</v>
      </c>
      <c r="AA1168" s="68"/>
      <c r="AB1168" s="68">
        <v>0</v>
      </c>
      <c r="AC1168" s="69">
        <f t="shared" si="298"/>
        <v>0</v>
      </c>
      <c r="AD1168" s="70">
        <v>0</v>
      </c>
      <c r="AE1168" s="63">
        <v>40392</v>
      </c>
      <c r="AF1168" s="72"/>
      <c r="AG1168" s="63" t="s">
        <v>938</v>
      </c>
      <c r="AH1168" s="23" t="s">
        <v>939</v>
      </c>
      <c r="AI1168" s="60"/>
      <c r="AJ1168" s="133" t="s">
        <v>1608</v>
      </c>
      <c r="AK1168" s="73" t="s">
        <v>1974</v>
      </c>
      <c r="AL1168" s="3"/>
      <c r="AM1168" s="4"/>
      <c r="AN1168" s="5"/>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6"/>
      <c r="CO1168" s="7"/>
      <c r="CP1168" s="6"/>
      <c r="CQ1168" s="7"/>
      <c r="CR1168" s="6"/>
      <c r="CS1168" s="7"/>
      <c r="CT1168" s="8">
        <f t="shared" si="299"/>
        <v>0</v>
      </c>
      <c r="CU1168" s="9"/>
      <c r="CV1168" s="10"/>
      <c r="CW1168" s="11"/>
      <c r="CX1168" s="12"/>
      <c r="CY1168" s="26"/>
      <c r="CZ1168" s="12"/>
      <c r="DA1168" s="9"/>
      <c r="DB1168" s="10"/>
      <c r="DC1168" s="64"/>
      <c r="DD1168" s="22"/>
    </row>
    <row r="1169" spans="1:108" s="119" customFormat="1" ht="156" outlineLevel="2">
      <c r="A1169" s="178">
        <v>40392</v>
      </c>
      <c r="B1169" s="174" t="s">
        <v>958</v>
      </c>
      <c r="C1169" s="174" t="s">
        <v>2278</v>
      </c>
      <c r="D1169" s="165" t="s">
        <v>1182</v>
      </c>
      <c r="E1169" s="163"/>
      <c r="F1169" s="105"/>
      <c r="G1169" s="105"/>
      <c r="H1169" s="105"/>
      <c r="I1169" s="105"/>
      <c r="J1169" s="105"/>
      <c r="K1169" s="105"/>
      <c r="L1169" s="105">
        <v>16</v>
      </c>
      <c r="M1169" s="105"/>
      <c r="N1169" s="105"/>
      <c r="O1169" s="105"/>
      <c r="P1169" s="105"/>
      <c r="Q1169" s="105"/>
      <c r="R1169" s="105"/>
      <c r="S1169" s="105"/>
      <c r="T1169" s="106"/>
      <c r="U1169" s="130"/>
      <c r="V1169" s="1">
        <v>40424</v>
      </c>
      <c r="W1169" s="68">
        <f t="shared" si="294"/>
        <v>0</v>
      </c>
      <c r="X1169" s="68">
        <f t="shared" si="295"/>
        <v>0</v>
      </c>
      <c r="Y1169" s="68">
        <f t="shared" si="296"/>
        <v>0</v>
      </c>
      <c r="Z1169" s="68">
        <f t="shared" si="297"/>
        <v>0</v>
      </c>
      <c r="AA1169" s="68"/>
      <c r="AB1169" s="68">
        <v>80000000</v>
      </c>
      <c r="AC1169" s="69">
        <f t="shared" si="298"/>
        <v>80000000</v>
      </c>
      <c r="AD1169" s="70">
        <v>0</v>
      </c>
      <c r="AE1169" s="63">
        <v>40403</v>
      </c>
      <c r="AF1169" s="72">
        <v>40849</v>
      </c>
      <c r="AG1169" s="63" t="s">
        <v>954</v>
      </c>
      <c r="AH1169" s="23" t="s">
        <v>955</v>
      </c>
      <c r="AI1169" s="60">
        <v>30860</v>
      </c>
      <c r="AJ1169" s="124" t="s">
        <v>415</v>
      </c>
      <c r="AK1169" s="125" t="s">
        <v>2279</v>
      </c>
      <c r="AL1169" s="107"/>
      <c r="AM1169" s="108"/>
      <c r="AN1169" s="109"/>
      <c r="AO1169" s="108"/>
      <c r="AP1169" s="108"/>
      <c r="AQ1169" s="108"/>
      <c r="AR1169" s="108"/>
      <c r="AS1169" s="108"/>
      <c r="AT1169" s="108"/>
      <c r="AU1169" s="108"/>
      <c r="AV1169" s="108"/>
      <c r="AW1169" s="108"/>
      <c r="AX1169" s="108"/>
      <c r="AY1169" s="108"/>
      <c r="AZ1169" s="108"/>
      <c r="BA1169" s="108"/>
      <c r="BB1169" s="108"/>
      <c r="BC1169" s="108"/>
      <c r="BD1169" s="108"/>
      <c r="BE1169" s="108"/>
      <c r="BF1169" s="108"/>
      <c r="BG1169" s="108"/>
      <c r="BH1169" s="108"/>
      <c r="BI1169" s="108"/>
      <c r="BJ1169" s="108"/>
      <c r="BK1169" s="108"/>
      <c r="BL1169" s="108"/>
      <c r="BM1169" s="108"/>
      <c r="BN1169" s="108"/>
      <c r="BO1169" s="108"/>
      <c r="BP1169" s="108"/>
      <c r="BQ1169" s="108"/>
      <c r="BR1169" s="108"/>
      <c r="BS1169" s="108"/>
      <c r="BT1169" s="108"/>
      <c r="BU1169" s="108"/>
      <c r="BV1169" s="108"/>
      <c r="BW1169" s="108"/>
      <c r="BX1169" s="108"/>
      <c r="BY1169" s="108"/>
      <c r="BZ1169" s="108"/>
      <c r="CA1169" s="108"/>
      <c r="CB1169" s="108"/>
      <c r="CC1169" s="108"/>
      <c r="CD1169" s="108"/>
      <c r="CE1169" s="108"/>
      <c r="CF1169" s="108"/>
      <c r="CG1169" s="108"/>
      <c r="CH1169" s="108"/>
      <c r="CI1169" s="108"/>
      <c r="CJ1169" s="108"/>
      <c r="CK1169" s="108"/>
      <c r="CL1169" s="108"/>
      <c r="CM1169" s="108"/>
      <c r="CN1169" s="110"/>
      <c r="CO1169" s="111"/>
      <c r="CP1169" s="110"/>
      <c r="CQ1169" s="111"/>
      <c r="CR1169" s="110"/>
      <c r="CS1169" s="111"/>
      <c r="CT1169" s="112">
        <f t="shared" si="299"/>
        <v>0</v>
      </c>
      <c r="CU1169" s="113"/>
      <c r="CV1169" s="114"/>
      <c r="CW1169" s="115"/>
      <c r="CX1169" s="116"/>
      <c r="CY1169" s="117"/>
      <c r="CZ1169" s="116"/>
      <c r="DA1169" s="113"/>
      <c r="DB1169" s="114"/>
      <c r="DC1169" s="64">
        <v>2</v>
      </c>
      <c r="DD1169" s="118"/>
    </row>
    <row r="1170" spans="1:108" s="119" customFormat="1" ht="96" outlineLevel="2">
      <c r="A1170" s="178">
        <v>40399</v>
      </c>
      <c r="B1170" s="164" t="s">
        <v>958</v>
      </c>
      <c r="C1170" s="164" t="s">
        <v>1831</v>
      </c>
      <c r="D1170" s="165" t="s">
        <v>1182</v>
      </c>
      <c r="E1170" s="163"/>
      <c r="F1170" s="105"/>
      <c r="G1170" s="105"/>
      <c r="H1170" s="105"/>
      <c r="I1170" s="105"/>
      <c r="J1170" s="105"/>
      <c r="K1170" s="105"/>
      <c r="L1170" s="105">
        <v>10</v>
      </c>
      <c r="M1170" s="105"/>
      <c r="N1170" s="105"/>
      <c r="O1170" s="105"/>
      <c r="P1170" s="105"/>
      <c r="Q1170" s="105"/>
      <c r="R1170" s="105"/>
      <c r="S1170" s="105"/>
      <c r="T1170" s="106"/>
      <c r="U1170" s="130"/>
      <c r="V1170" s="1">
        <v>40479</v>
      </c>
      <c r="W1170" s="68">
        <f t="shared" si="294"/>
        <v>0</v>
      </c>
      <c r="X1170" s="68">
        <f t="shared" si="295"/>
        <v>0</v>
      </c>
      <c r="Y1170" s="68">
        <f t="shared" si="296"/>
        <v>0</v>
      </c>
      <c r="Z1170" s="68">
        <f t="shared" si="297"/>
        <v>0</v>
      </c>
      <c r="AA1170" s="68"/>
      <c r="AB1170" s="68">
        <v>60000000</v>
      </c>
      <c r="AC1170" s="69">
        <f t="shared" si="298"/>
        <v>60000000</v>
      </c>
      <c r="AD1170" s="70">
        <v>0</v>
      </c>
      <c r="AE1170" s="63">
        <v>40466</v>
      </c>
      <c r="AF1170" s="72">
        <v>56546</v>
      </c>
      <c r="AG1170" s="63" t="s">
        <v>954</v>
      </c>
      <c r="AH1170" s="23" t="s">
        <v>955</v>
      </c>
      <c r="AI1170" s="83">
        <v>39888</v>
      </c>
      <c r="AJ1170" s="83" t="s">
        <v>1476</v>
      </c>
      <c r="AK1170" s="121" t="s">
        <v>1832</v>
      </c>
      <c r="AL1170" s="107"/>
      <c r="AM1170" s="108"/>
      <c r="AN1170" s="109"/>
      <c r="AO1170" s="108"/>
      <c r="AP1170" s="108"/>
      <c r="AQ1170" s="108"/>
      <c r="AR1170" s="108"/>
      <c r="AS1170" s="108"/>
      <c r="AT1170" s="108"/>
      <c r="AU1170" s="108"/>
      <c r="AV1170" s="108"/>
      <c r="AW1170" s="108"/>
      <c r="AX1170" s="108"/>
      <c r="AY1170" s="108"/>
      <c r="AZ1170" s="108"/>
      <c r="BA1170" s="108"/>
      <c r="BB1170" s="108"/>
      <c r="BC1170" s="108"/>
      <c r="BD1170" s="108"/>
      <c r="BE1170" s="108"/>
      <c r="BF1170" s="108"/>
      <c r="BG1170" s="108"/>
      <c r="BH1170" s="108"/>
      <c r="BI1170" s="108"/>
      <c r="BJ1170" s="108"/>
      <c r="BK1170" s="108"/>
      <c r="BL1170" s="108"/>
      <c r="BM1170" s="108"/>
      <c r="BN1170" s="108"/>
      <c r="BO1170" s="108"/>
      <c r="BP1170" s="108"/>
      <c r="BQ1170" s="108"/>
      <c r="BR1170" s="108"/>
      <c r="BS1170" s="108"/>
      <c r="BT1170" s="108"/>
      <c r="BU1170" s="108"/>
      <c r="BV1170" s="108"/>
      <c r="BW1170" s="108"/>
      <c r="BX1170" s="108"/>
      <c r="BY1170" s="108"/>
      <c r="BZ1170" s="108"/>
      <c r="CA1170" s="108"/>
      <c r="CB1170" s="108"/>
      <c r="CC1170" s="108"/>
      <c r="CD1170" s="108"/>
      <c r="CE1170" s="108"/>
      <c r="CF1170" s="108"/>
      <c r="CG1170" s="108"/>
      <c r="CH1170" s="108"/>
      <c r="CI1170" s="108"/>
      <c r="CJ1170" s="108"/>
      <c r="CK1170" s="108"/>
      <c r="CL1170" s="108"/>
      <c r="CM1170" s="108"/>
      <c r="CN1170" s="110"/>
      <c r="CO1170" s="111"/>
      <c r="CP1170" s="110"/>
      <c r="CQ1170" s="111"/>
      <c r="CR1170" s="110"/>
      <c r="CS1170" s="111"/>
      <c r="CT1170" s="112">
        <f t="shared" si="299"/>
        <v>0</v>
      </c>
      <c r="CU1170" s="113"/>
      <c r="CV1170" s="114"/>
      <c r="CW1170" s="115"/>
      <c r="CX1170" s="116"/>
      <c r="CY1170" s="117"/>
      <c r="CZ1170" s="116"/>
      <c r="DA1170" s="113"/>
      <c r="DB1170" s="114"/>
      <c r="DC1170" s="64"/>
      <c r="DD1170" s="118"/>
    </row>
    <row r="1171" spans="1:108" s="119" customFormat="1" ht="84" outlineLevel="2">
      <c r="A1171" s="178">
        <v>40429</v>
      </c>
      <c r="B1171" s="164" t="s">
        <v>958</v>
      </c>
      <c r="C1171" s="164" t="s">
        <v>1216</v>
      </c>
      <c r="D1171" s="165" t="s">
        <v>1182</v>
      </c>
      <c r="E1171" s="163"/>
      <c r="F1171" s="105"/>
      <c r="G1171" s="105"/>
      <c r="H1171" s="105"/>
      <c r="I1171" s="105"/>
      <c r="J1171" s="105"/>
      <c r="K1171" s="105"/>
      <c r="L1171" s="105">
        <v>5</v>
      </c>
      <c r="M1171" s="105"/>
      <c r="N1171" s="105"/>
      <c r="O1171" s="105"/>
      <c r="P1171" s="105"/>
      <c r="Q1171" s="105"/>
      <c r="R1171" s="105"/>
      <c r="S1171" s="105"/>
      <c r="T1171" s="106"/>
      <c r="U1171" s="130"/>
      <c r="V1171" s="1">
        <v>40464</v>
      </c>
      <c r="W1171" s="68">
        <f t="shared" si="294"/>
        <v>0</v>
      </c>
      <c r="X1171" s="68">
        <f t="shared" si="295"/>
        <v>0</v>
      </c>
      <c r="Y1171" s="68">
        <f t="shared" si="296"/>
        <v>0</v>
      </c>
      <c r="Z1171" s="68">
        <f t="shared" si="297"/>
        <v>0</v>
      </c>
      <c r="AA1171" s="68"/>
      <c r="AB1171" s="68">
        <v>35131000</v>
      </c>
      <c r="AC1171" s="69">
        <f t="shared" si="298"/>
        <v>35131000</v>
      </c>
      <c r="AD1171" s="70">
        <v>0</v>
      </c>
      <c r="AE1171" s="63">
        <v>40431</v>
      </c>
      <c r="AF1171" s="72">
        <v>47547</v>
      </c>
      <c r="AG1171" s="63" t="s">
        <v>954</v>
      </c>
      <c r="AH1171" s="23" t="s">
        <v>955</v>
      </c>
      <c r="AI1171" s="60">
        <v>37218</v>
      </c>
      <c r="AJ1171" s="124" t="s">
        <v>1476</v>
      </c>
      <c r="AK1171" s="125" t="s">
        <v>236</v>
      </c>
      <c r="AL1171" s="107"/>
      <c r="AM1171" s="108"/>
      <c r="AN1171" s="109"/>
      <c r="AO1171" s="108"/>
      <c r="AP1171" s="108"/>
      <c r="AQ1171" s="108"/>
      <c r="AR1171" s="108"/>
      <c r="AS1171" s="108"/>
      <c r="AT1171" s="108"/>
      <c r="AU1171" s="108"/>
      <c r="AV1171" s="108"/>
      <c r="AW1171" s="108"/>
      <c r="AX1171" s="108"/>
      <c r="AY1171" s="108"/>
      <c r="AZ1171" s="108"/>
      <c r="BA1171" s="108"/>
      <c r="BB1171" s="108"/>
      <c r="BC1171" s="108"/>
      <c r="BD1171" s="108"/>
      <c r="BE1171" s="108"/>
      <c r="BF1171" s="108"/>
      <c r="BG1171" s="108"/>
      <c r="BH1171" s="108"/>
      <c r="BI1171" s="108"/>
      <c r="BJ1171" s="108"/>
      <c r="BK1171" s="108"/>
      <c r="BL1171" s="108"/>
      <c r="BM1171" s="108"/>
      <c r="BN1171" s="108"/>
      <c r="BO1171" s="108"/>
      <c r="BP1171" s="108"/>
      <c r="BQ1171" s="108"/>
      <c r="BR1171" s="108"/>
      <c r="BS1171" s="108"/>
      <c r="BT1171" s="108"/>
      <c r="BU1171" s="108"/>
      <c r="BV1171" s="108"/>
      <c r="BW1171" s="108"/>
      <c r="BX1171" s="108"/>
      <c r="BY1171" s="108"/>
      <c r="BZ1171" s="108"/>
      <c r="CA1171" s="108"/>
      <c r="CB1171" s="108"/>
      <c r="CC1171" s="108"/>
      <c r="CD1171" s="108"/>
      <c r="CE1171" s="108"/>
      <c r="CF1171" s="108"/>
      <c r="CG1171" s="108"/>
      <c r="CH1171" s="108"/>
      <c r="CI1171" s="108"/>
      <c r="CJ1171" s="108"/>
      <c r="CK1171" s="108"/>
      <c r="CL1171" s="108"/>
      <c r="CM1171" s="108"/>
      <c r="CN1171" s="110"/>
      <c r="CO1171" s="111"/>
      <c r="CP1171" s="110"/>
      <c r="CQ1171" s="111"/>
      <c r="CR1171" s="110"/>
      <c r="CS1171" s="111"/>
      <c r="CT1171" s="112">
        <f t="shared" si="299"/>
        <v>0</v>
      </c>
      <c r="CU1171" s="113"/>
      <c r="CV1171" s="114"/>
      <c r="CW1171" s="115"/>
      <c r="CX1171" s="116"/>
      <c r="CY1171" s="117"/>
      <c r="CZ1171" s="116"/>
      <c r="DA1171" s="113"/>
      <c r="DB1171" s="114"/>
      <c r="DC1171" s="64">
        <v>4</v>
      </c>
      <c r="DD1171" s="118">
        <v>1336</v>
      </c>
    </row>
    <row r="1172" spans="1:108" s="119" customFormat="1" ht="36" outlineLevel="2">
      <c r="A1172" s="178">
        <v>40444</v>
      </c>
      <c r="B1172" s="164" t="s">
        <v>958</v>
      </c>
      <c r="C1172" s="164" t="s">
        <v>959</v>
      </c>
      <c r="D1172" s="166" t="s">
        <v>1262</v>
      </c>
      <c r="E1172" s="163"/>
      <c r="F1172" s="105"/>
      <c r="G1172" s="105"/>
      <c r="H1172" s="105"/>
      <c r="I1172" s="105"/>
      <c r="J1172" s="105"/>
      <c r="K1172" s="105"/>
      <c r="L1172" s="105"/>
      <c r="M1172" s="105"/>
      <c r="N1172" s="105"/>
      <c r="O1172" s="105"/>
      <c r="P1172" s="105"/>
      <c r="Q1172" s="105"/>
      <c r="R1172" s="105">
        <v>1</v>
      </c>
      <c r="S1172" s="105">
        <v>2</v>
      </c>
      <c r="T1172" s="106"/>
      <c r="U1172" s="130"/>
      <c r="V1172" s="1"/>
      <c r="W1172" s="68">
        <f t="shared" si="294"/>
        <v>0</v>
      </c>
      <c r="X1172" s="68">
        <f t="shared" si="295"/>
        <v>0</v>
      </c>
      <c r="Y1172" s="68">
        <f t="shared" si="296"/>
        <v>0</v>
      </c>
      <c r="Z1172" s="68">
        <f t="shared" si="297"/>
        <v>0</v>
      </c>
      <c r="AA1172" s="68"/>
      <c r="AB1172" s="68">
        <v>0</v>
      </c>
      <c r="AC1172" s="69">
        <f t="shared" si="298"/>
        <v>0</v>
      </c>
      <c r="AD1172" s="70">
        <v>0</v>
      </c>
      <c r="AE1172" s="63">
        <v>40448</v>
      </c>
      <c r="AF1172" s="72"/>
      <c r="AG1172" s="63" t="s">
        <v>938</v>
      </c>
      <c r="AH1172" s="23" t="s">
        <v>939</v>
      </c>
      <c r="AI1172" s="60"/>
      <c r="AJ1172" s="124" t="s">
        <v>1608</v>
      </c>
      <c r="AK1172" s="121" t="s">
        <v>1350</v>
      </c>
      <c r="AL1172" s="107"/>
      <c r="AM1172" s="108"/>
      <c r="AN1172" s="109"/>
      <c r="AO1172" s="108"/>
      <c r="AP1172" s="108"/>
      <c r="AQ1172" s="108"/>
      <c r="AR1172" s="108"/>
      <c r="AS1172" s="108"/>
      <c r="AT1172" s="108"/>
      <c r="AU1172" s="108"/>
      <c r="AV1172" s="108"/>
      <c r="AW1172" s="108"/>
      <c r="AX1172" s="108"/>
      <c r="AY1172" s="108"/>
      <c r="AZ1172" s="108"/>
      <c r="BA1172" s="108"/>
      <c r="BB1172" s="108"/>
      <c r="BC1172" s="108"/>
      <c r="BD1172" s="108"/>
      <c r="BE1172" s="108"/>
      <c r="BF1172" s="108"/>
      <c r="BG1172" s="108"/>
      <c r="BH1172" s="108"/>
      <c r="BI1172" s="108"/>
      <c r="BJ1172" s="108"/>
      <c r="BK1172" s="108"/>
      <c r="BL1172" s="108"/>
      <c r="BM1172" s="108"/>
      <c r="BN1172" s="108"/>
      <c r="BO1172" s="108"/>
      <c r="BP1172" s="108"/>
      <c r="BQ1172" s="108"/>
      <c r="BR1172" s="108"/>
      <c r="BS1172" s="108"/>
      <c r="BT1172" s="108"/>
      <c r="BU1172" s="108"/>
      <c r="BV1172" s="108"/>
      <c r="BW1172" s="108"/>
      <c r="BX1172" s="108"/>
      <c r="BY1172" s="108"/>
      <c r="BZ1172" s="108"/>
      <c r="CA1172" s="108"/>
      <c r="CB1172" s="108"/>
      <c r="CC1172" s="108"/>
      <c r="CD1172" s="108"/>
      <c r="CE1172" s="108"/>
      <c r="CF1172" s="108"/>
      <c r="CG1172" s="108"/>
      <c r="CH1172" s="108"/>
      <c r="CI1172" s="108"/>
      <c r="CJ1172" s="108"/>
      <c r="CK1172" s="108"/>
      <c r="CL1172" s="108"/>
      <c r="CM1172" s="108"/>
      <c r="CN1172" s="110"/>
      <c r="CO1172" s="111"/>
      <c r="CP1172" s="110"/>
      <c r="CQ1172" s="111"/>
      <c r="CR1172" s="110"/>
      <c r="CS1172" s="111"/>
      <c r="CT1172" s="112">
        <f t="shared" si="299"/>
        <v>0</v>
      </c>
      <c r="CU1172" s="113"/>
      <c r="CV1172" s="114"/>
      <c r="CW1172" s="115"/>
      <c r="CX1172" s="116"/>
      <c r="CY1172" s="117"/>
      <c r="CZ1172" s="116"/>
      <c r="DA1172" s="113"/>
      <c r="DB1172" s="114"/>
      <c r="DC1172" s="64"/>
      <c r="DD1172" s="118"/>
    </row>
    <row r="1173" spans="1:108" s="119" customFormat="1" ht="72" outlineLevel="2">
      <c r="A1173" s="178">
        <v>40451</v>
      </c>
      <c r="B1173" s="164" t="s">
        <v>958</v>
      </c>
      <c r="C1173" s="164" t="s">
        <v>1973</v>
      </c>
      <c r="D1173" s="166" t="s">
        <v>1262</v>
      </c>
      <c r="E1173" s="163"/>
      <c r="F1173" s="105"/>
      <c r="G1173" s="105"/>
      <c r="H1173" s="105">
        <v>25</v>
      </c>
      <c r="I1173" s="105">
        <v>5</v>
      </c>
      <c r="J1173" s="105"/>
      <c r="K1173" s="105">
        <v>5</v>
      </c>
      <c r="L1173" s="105"/>
      <c r="M1173" s="105"/>
      <c r="N1173" s="105"/>
      <c r="O1173" s="105"/>
      <c r="P1173" s="105"/>
      <c r="Q1173" s="105"/>
      <c r="R1173" s="105"/>
      <c r="S1173" s="105"/>
      <c r="T1173" s="106"/>
      <c r="U1173" s="130"/>
      <c r="V1173" s="1"/>
      <c r="W1173" s="68">
        <f t="shared" si="294"/>
        <v>0</v>
      </c>
      <c r="X1173" s="68">
        <f t="shared" si="295"/>
        <v>0</v>
      </c>
      <c r="Y1173" s="68">
        <f t="shared" si="296"/>
        <v>0</v>
      </c>
      <c r="Z1173" s="68">
        <f t="shared" si="297"/>
        <v>0</v>
      </c>
      <c r="AA1173" s="68"/>
      <c r="AB1173" s="68">
        <v>0</v>
      </c>
      <c r="AC1173" s="69">
        <f t="shared" si="298"/>
        <v>0</v>
      </c>
      <c r="AD1173" s="70">
        <v>0</v>
      </c>
      <c r="AE1173" s="63">
        <v>40455</v>
      </c>
      <c r="AF1173" s="72"/>
      <c r="AG1173" s="63" t="s">
        <v>938</v>
      </c>
      <c r="AH1173" s="23" t="s">
        <v>939</v>
      </c>
      <c r="AI1173" s="60"/>
      <c r="AJ1173" s="124" t="s">
        <v>1608</v>
      </c>
      <c r="AK1173" s="121" t="s">
        <v>773</v>
      </c>
      <c r="AL1173" s="107"/>
      <c r="AM1173" s="108"/>
      <c r="AN1173" s="109"/>
      <c r="AO1173" s="108"/>
      <c r="AP1173" s="108"/>
      <c r="AQ1173" s="108"/>
      <c r="AR1173" s="108"/>
      <c r="AS1173" s="108"/>
      <c r="AT1173" s="108"/>
      <c r="AU1173" s="108"/>
      <c r="AV1173" s="108"/>
      <c r="AW1173" s="108"/>
      <c r="AX1173" s="108"/>
      <c r="AY1173" s="108"/>
      <c r="AZ1173" s="108"/>
      <c r="BA1173" s="108"/>
      <c r="BB1173" s="108"/>
      <c r="BC1173" s="108"/>
      <c r="BD1173" s="108"/>
      <c r="BE1173" s="108"/>
      <c r="BF1173" s="108"/>
      <c r="BG1173" s="108"/>
      <c r="BH1173" s="108"/>
      <c r="BI1173" s="108"/>
      <c r="BJ1173" s="108"/>
      <c r="BK1173" s="108"/>
      <c r="BL1173" s="108"/>
      <c r="BM1173" s="108"/>
      <c r="BN1173" s="108"/>
      <c r="BO1173" s="108"/>
      <c r="BP1173" s="108"/>
      <c r="BQ1173" s="108"/>
      <c r="BR1173" s="108"/>
      <c r="BS1173" s="108"/>
      <c r="BT1173" s="108"/>
      <c r="BU1173" s="108"/>
      <c r="BV1173" s="108"/>
      <c r="BW1173" s="108"/>
      <c r="BX1173" s="108"/>
      <c r="BY1173" s="108"/>
      <c r="BZ1173" s="108"/>
      <c r="CA1173" s="108"/>
      <c r="CB1173" s="108"/>
      <c r="CC1173" s="108"/>
      <c r="CD1173" s="108"/>
      <c r="CE1173" s="108"/>
      <c r="CF1173" s="108"/>
      <c r="CG1173" s="108"/>
      <c r="CH1173" s="108"/>
      <c r="CI1173" s="108"/>
      <c r="CJ1173" s="108"/>
      <c r="CK1173" s="108"/>
      <c r="CL1173" s="108"/>
      <c r="CM1173" s="108"/>
      <c r="CN1173" s="110"/>
      <c r="CO1173" s="111"/>
      <c r="CP1173" s="110"/>
      <c r="CQ1173" s="111"/>
      <c r="CR1173" s="110"/>
      <c r="CS1173" s="111"/>
      <c r="CT1173" s="112">
        <f t="shared" si="299"/>
        <v>0</v>
      </c>
      <c r="CU1173" s="113"/>
      <c r="CV1173" s="114"/>
      <c r="CW1173" s="115"/>
      <c r="CX1173" s="116"/>
      <c r="CY1173" s="117"/>
      <c r="CZ1173" s="116"/>
      <c r="DA1173" s="113"/>
      <c r="DB1173" s="114"/>
      <c r="DC1173" s="64"/>
      <c r="DD1173" s="118"/>
    </row>
    <row r="1174" spans="1:108" s="119" customFormat="1" ht="168" outlineLevel="2">
      <c r="A1174" s="178">
        <v>40455</v>
      </c>
      <c r="B1174" s="164" t="s">
        <v>958</v>
      </c>
      <c r="C1174" s="164" t="s">
        <v>238</v>
      </c>
      <c r="D1174" s="165" t="s">
        <v>1182</v>
      </c>
      <c r="E1174" s="163"/>
      <c r="F1174" s="105"/>
      <c r="G1174" s="105"/>
      <c r="H1174" s="105"/>
      <c r="I1174" s="105"/>
      <c r="J1174" s="105"/>
      <c r="K1174" s="105"/>
      <c r="L1174" s="105">
        <v>13</v>
      </c>
      <c r="M1174" s="105"/>
      <c r="N1174" s="105"/>
      <c r="O1174" s="105"/>
      <c r="P1174" s="105"/>
      <c r="Q1174" s="105"/>
      <c r="R1174" s="105"/>
      <c r="S1174" s="105"/>
      <c r="T1174" s="106"/>
      <c r="U1174" s="130"/>
      <c r="V1174" s="1">
        <v>40464</v>
      </c>
      <c r="W1174" s="68">
        <f t="shared" si="294"/>
        <v>0</v>
      </c>
      <c r="X1174" s="68">
        <f t="shared" si="295"/>
        <v>0</v>
      </c>
      <c r="Y1174" s="68">
        <f t="shared" si="296"/>
        <v>0</v>
      </c>
      <c r="Z1174" s="68">
        <f t="shared" si="297"/>
        <v>0</v>
      </c>
      <c r="AA1174" s="68"/>
      <c r="AB1174" s="68">
        <v>63490350</v>
      </c>
      <c r="AC1174" s="69">
        <f t="shared" si="298"/>
        <v>63490350</v>
      </c>
      <c r="AD1174" s="70">
        <v>0</v>
      </c>
      <c r="AE1174" s="63">
        <v>40455</v>
      </c>
      <c r="AF1174" s="72"/>
      <c r="AG1174" s="63" t="s">
        <v>954</v>
      </c>
      <c r="AH1174" s="23" t="s">
        <v>955</v>
      </c>
      <c r="AI1174" s="60">
        <v>37222</v>
      </c>
      <c r="AJ1174" s="124" t="s">
        <v>1746</v>
      </c>
      <c r="AK1174" s="125" t="s">
        <v>239</v>
      </c>
      <c r="AL1174" s="107"/>
      <c r="AM1174" s="108"/>
      <c r="AN1174" s="109"/>
      <c r="AO1174" s="108"/>
      <c r="AP1174" s="108"/>
      <c r="AQ1174" s="108"/>
      <c r="AR1174" s="108"/>
      <c r="AS1174" s="108"/>
      <c r="AT1174" s="108"/>
      <c r="AU1174" s="108"/>
      <c r="AV1174" s="108"/>
      <c r="AW1174" s="108"/>
      <c r="AX1174" s="108"/>
      <c r="AY1174" s="108"/>
      <c r="AZ1174" s="108"/>
      <c r="BA1174" s="108"/>
      <c r="BB1174" s="108"/>
      <c r="BC1174" s="108"/>
      <c r="BD1174" s="108"/>
      <c r="BE1174" s="108"/>
      <c r="BF1174" s="108"/>
      <c r="BG1174" s="108"/>
      <c r="BH1174" s="108"/>
      <c r="BI1174" s="108"/>
      <c r="BJ1174" s="108"/>
      <c r="BK1174" s="108"/>
      <c r="BL1174" s="108"/>
      <c r="BM1174" s="108"/>
      <c r="BN1174" s="108"/>
      <c r="BO1174" s="108"/>
      <c r="BP1174" s="108"/>
      <c r="BQ1174" s="108"/>
      <c r="BR1174" s="108"/>
      <c r="BS1174" s="108"/>
      <c r="BT1174" s="108"/>
      <c r="BU1174" s="108"/>
      <c r="BV1174" s="108"/>
      <c r="BW1174" s="108"/>
      <c r="BX1174" s="108"/>
      <c r="BY1174" s="108"/>
      <c r="BZ1174" s="108"/>
      <c r="CA1174" s="108"/>
      <c r="CB1174" s="108"/>
      <c r="CC1174" s="108"/>
      <c r="CD1174" s="108"/>
      <c r="CE1174" s="108"/>
      <c r="CF1174" s="108"/>
      <c r="CG1174" s="108"/>
      <c r="CH1174" s="108"/>
      <c r="CI1174" s="108"/>
      <c r="CJ1174" s="108"/>
      <c r="CK1174" s="108"/>
      <c r="CL1174" s="108"/>
      <c r="CM1174" s="108"/>
      <c r="CN1174" s="110"/>
      <c r="CO1174" s="111"/>
      <c r="CP1174" s="110"/>
      <c r="CQ1174" s="111"/>
      <c r="CR1174" s="110"/>
      <c r="CS1174" s="111"/>
      <c r="CT1174" s="112">
        <f t="shared" si="299"/>
        <v>0</v>
      </c>
      <c r="CU1174" s="113"/>
      <c r="CV1174" s="114"/>
      <c r="CW1174" s="115"/>
      <c r="CX1174" s="116"/>
      <c r="CY1174" s="117"/>
      <c r="CZ1174" s="116"/>
      <c r="DA1174" s="113"/>
      <c r="DB1174" s="114"/>
      <c r="DC1174" s="64">
        <v>2</v>
      </c>
      <c r="DD1174" s="118"/>
    </row>
    <row r="1175" spans="1:108" s="119" customFormat="1" ht="101.25" outlineLevel="2">
      <c r="A1175" s="178">
        <v>40456</v>
      </c>
      <c r="B1175" s="164" t="s">
        <v>958</v>
      </c>
      <c r="C1175" s="164" t="s">
        <v>1360</v>
      </c>
      <c r="D1175" s="165" t="s">
        <v>1182</v>
      </c>
      <c r="E1175" s="163"/>
      <c r="F1175" s="105"/>
      <c r="G1175" s="105"/>
      <c r="H1175" s="105"/>
      <c r="I1175" s="105"/>
      <c r="J1175" s="105"/>
      <c r="K1175" s="105"/>
      <c r="L1175" s="105">
        <v>16</v>
      </c>
      <c r="M1175" s="105"/>
      <c r="N1175" s="105"/>
      <c r="O1175" s="105"/>
      <c r="P1175" s="105"/>
      <c r="Q1175" s="105"/>
      <c r="R1175" s="105"/>
      <c r="S1175" s="105"/>
      <c r="T1175" s="106"/>
      <c r="U1175" s="130"/>
      <c r="V1175" s="1">
        <v>40464</v>
      </c>
      <c r="W1175" s="68">
        <f t="shared" si="294"/>
        <v>0</v>
      </c>
      <c r="X1175" s="68">
        <f t="shared" si="295"/>
        <v>0</v>
      </c>
      <c r="Y1175" s="68">
        <f t="shared" si="296"/>
        <v>0</v>
      </c>
      <c r="Z1175" s="68">
        <f t="shared" si="297"/>
        <v>0</v>
      </c>
      <c r="AA1175" s="68"/>
      <c r="AB1175" s="68">
        <v>55000000</v>
      </c>
      <c r="AC1175" s="69">
        <f t="shared" si="298"/>
        <v>55000000</v>
      </c>
      <c r="AD1175" s="70">
        <v>0</v>
      </c>
      <c r="AE1175" s="63">
        <v>40456</v>
      </c>
      <c r="AF1175" s="72"/>
      <c r="AG1175" s="63" t="s">
        <v>954</v>
      </c>
      <c r="AH1175" s="23" t="s">
        <v>955</v>
      </c>
      <c r="AI1175" s="60">
        <v>37235</v>
      </c>
      <c r="AJ1175" s="124" t="s">
        <v>1746</v>
      </c>
      <c r="AK1175" s="136" t="s">
        <v>237</v>
      </c>
      <c r="AL1175" s="107"/>
      <c r="AM1175" s="108"/>
      <c r="AN1175" s="109"/>
      <c r="AO1175" s="108"/>
      <c r="AP1175" s="108"/>
      <c r="AQ1175" s="108"/>
      <c r="AR1175" s="108"/>
      <c r="AS1175" s="108"/>
      <c r="AT1175" s="108"/>
      <c r="AU1175" s="108"/>
      <c r="AV1175" s="108"/>
      <c r="AW1175" s="108"/>
      <c r="AX1175" s="108"/>
      <c r="AY1175" s="108"/>
      <c r="AZ1175" s="108"/>
      <c r="BA1175" s="108"/>
      <c r="BB1175" s="108"/>
      <c r="BC1175" s="108"/>
      <c r="BD1175" s="108"/>
      <c r="BE1175" s="108"/>
      <c r="BF1175" s="108"/>
      <c r="BG1175" s="108"/>
      <c r="BH1175" s="108"/>
      <c r="BI1175" s="108"/>
      <c r="BJ1175" s="108"/>
      <c r="BK1175" s="108"/>
      <c r="BL1175" s="108"/>
      <c r="BM1175" s="108"/>
      <c r="BN1175" s="108"/>
      <c r="BO1175" s="108"/>
      <c r="BP1175" s="108"/>
      <c r="BQ1175" s="108"/>
      <c r="BR1175" s="108"/>
      <c r="BS1175" s="108"/>
      <c r="BT1175" s="108"/>
      <c r="BU1175" s="108"/>
      <c r="BV1175" s="108"/>
      <c r="BW1175" s="108"/>
      <c r="BX1175" s="108"/>
      <c r="BY1175" s="108"/>
      <c r="BZ1175" s="108"/>
      <c r="CA1175" s="108"/>
      <c r="CB1175" s="108"/>
      <c r="CC1175" s="108"/>
      <c r="CD1175" s="108"/>
      <c r="CE1175" s="108"/>
      <c r="CF1175" s="108"/>
      <c r="CG1175" s="108"/>
      <c r="CH1175" s="108"/>
      <c r="CI1175" s="108"/>
      <c r="CJ1175" s="108"/>
      <c r="CK1175" s="108"/>
      <c r="CL1175" s="108"/>
      <c r="CM1175" s="108"/>
      <c r="CN1175" s="110"/>
      <c r="CO1175" s="111"/>
      <c r="CP1175" s="110"/>
      <c r="CQ1175" s="111"/>
      <c r="CR1175" s="110"/>
      <c r="CS1175" s="111"/>
      <c r="CT1175" s="112">
        <f t="shared" si="299"/>
        <v>0</v>
      </c>
      <c r="CU1175" s="113"/>
      <c r="CV1175" s="114"/>
      <c r="CW1175" s="115"/>
      <c r="CX1175" s="116"/>
      <c r="CY1175" s="117"/>
      <c r="CZ1175" s="116"/>
      <c r="DA1175" s="113"/>
      <c r="DB1175" s="114"/>
      <c r="DC1175" s="64">
        <v>2</v>
      </c>
      <c r="DD1175" s="118"/>
    </row>
    <row r="1176" spans="1:108" s="119" customFormat="1" ht="24" outlineLevel="2">
      <c r="A1176" s="178">
        <v>40457</v>
      </c>
      <c r="B1176" s="164" t="s">
        <v>958</v>
      </c>
      <c r="C1176" s="164" t="s">
        <v>2278</v>
      </c>
      <c r="D1176" s="165" t="s">
        <v>1182</v>
      </c>
      <c r="E1176" s="163"/>
      <c r="F1176" s="105"/>
      <c r="G1176" s="105"/>
      <c r="H1176" s="105">
        <v>5</v>
      </c>
      <c r="I1176" s="105">
        <v>1</v>
      </c>
      <c r="J1176" s="105">
        <v>1</v>
      </c>
      <c r="K1176" s="105"/>
      <c r="L1176" s="105"/>
      <c r="M1176" s="105"/>
      <c r="N1176" s="105"/>
      <c r="O1176" s="105"/>
      <c r="P1176" s="105"/>
      <c r="Q1176" s="105"/>
      <c r="R1176" s="105"/>
      <c r="S1176" s="105"/>
      <c r="T1176" s="106"/>
      <c r="U1176" s="130"/>
      <c r="V1176" s="1"/>
      <c r="W1176" s="68">
        <f t="shared" si="294"/>
        <v>0</v>
      </c>
      <c r="X1176" s="68">
        <f t="shared" si="295"/>
        <v>0</v>
      </c>
      <c r="Y1176" s="68">
        <f t="shared" si="296"/>
        <v>0</v>
      </c>
      <c r="Z1176" s="68">
        <f t="shared" si="297"/>
        <v>0</v>
      </c>
      <c r="AA1176" s="68"/>
      <c r="AB1176" s="68">
        <v>0</v>
      </c>
      <c r="AC1176" s="69">
        <f t="shared" si="298"/>
        <v>0</v>
      </c>
      <c r="AD1176" s="70">
        <v>0</v>
      </c>
      <c r="AE1176" s="63">
        <v>40459</v>
      </c>
      <c r="AF1176" s="72"/>
      <c r="AG1176" s="63" t="s">
        <v>938</v>
      </c>
      <c r="AH1176" s="23" t="s">
        <v>939</v>
      </c>
      <c r="AI1176" s="60"/>
      <c r="AJ1176" s="124" t="s">
        <v>1608</v>
      </c>
      <c r="AK1176" s="121" t="s">
        <v>217</v>
      </c>
      <c r="AL1176" s="107"/>
      <c r="AM1176" s="108"/>
      <c r="AN1176" s="109"/>
      <c r="AO1176" s="108"/>
      <c r="AP1176" s="108"/>
      <c r="AQ1176" s="108"/>
      <c r="AR1176" s="108"/>
      <c r="AS1176" s="108"/>
      <c r="AT1176" s="108"/>
      <c r="AU1176" s="108"/>
      <c r="AV1176" s="108"/>
      <c r="AW1176" s="108"/>
      <c r="AX1176" s="108"/>
      <c r="AY1176" s="108"/>
      <c r="AZ1176" s="108"/>
      <c r="BA1176" s="108"/>
      <c r="BB1176" s="108"/>
      <c r="BC1176" s="108"/>
      <c r="BD1176" s="108"/>
      <c r="BE1176" s="108"/>
      <c r="BF1176" s="108"/>
      <c r="BG1176" s="108"/>
      <c r="BH1176" s="108"/>
      <c r="BI1176" s="108"/>
      <c r="BJ1176" s="108"/>
      <c r="BK1176" s="108"/>
      <c r="BL1176" s="108"/>
      <c r="BM1176" s="108"/>
      <c r="BN1176" s="108"/>
      <c r="BO1176" s="108"/>
      <c r="BP1176" s="108"/>
      <c r="BQ1176" s="108"/>
      <c r="BR1176" s="108"/>
      <c r="BS1176" s="108"/>
      <c r="BT1176" s="108"/>
      <c r="BU1176" s="108"/>
      <c r="BV1176" s="108"/>
      <c r="BW1176" s="108"/>
      <c r="BX1176" s="108"/>
      <c r="BY1176" s="108"/>
      <c r="BZ1176" s="108"/>
      <c r="CA1176" s="108"/>
      <c r="CB1176" s="108"/>
      <c r="CC1176" s="108"/>
      <c r="CD1176" s="108"/>
      <c r="CE1176" s="108"/>
      <c r="CF1176" s="108"/>
      <c r="CG1176" s="108"/>
      <c r="CH1176" s="108"/>
      <c r="CI1176" s="108"/>
      <c r="CJ1176" s="108"/>
      <c r="CK1176" s="108"/>
      <c r="CL1176" s="108"/>
      <c r="CM1176" s="108"/>
      <c r="CN1176" s="110"/>
      <c r="CO1176" s="111"/>
      <c r="CP1176" s="110"/>
      <c r="CQ1176" s="111"/>
      <c r="CR1176" s="110"/>
      <c r="CS1176" s="111"/>
      <c r="CT1176" s="112">
        <f t="shared" si="299"/>
        <v>0</v>
      </c>
      <c r="CU1176" s="113"/>
      <c r="CV1176" s="114"/>
      <c r="CW1176" s="115"/>
      <c r="CX1176" s="116"/>
      <c r="CY1176" s="117"/>
      <c r="CZ1176" s="116"/>
      <c r="DA1176" s="113"/>
      <c r="DB1176" s="114"/>
      <c r="DC1176" s="64"/>
      <c r="DD1176" s="118"/>
    </row>
    <row r="1177" spans="1:108" s="119" customFormat="1" ht="16.5" outlineLevel="2">
      <c r="A1177" s="178">
        <v>40459</v>
      </c>
      <c r="B1177" s="164" t="s">
        <v>958</v>
      </c>
      <c r="C1177" s="164" t="s">
        <v>959</v>
      </c>
      <c r="D1177" s="166" t="s">
        <v>1262</v>
      </c>
      <c r="E1177" s="163"/>
      <c r="F1177" s="105"/>
      <c r="G1177" s="105"/>
      <c r="H1177" s="105">
        <v>5</v>
      </c>
      <c r="I1177" s="105">
        <v>1</v>
      </c>
      <c r="J1177" s="105"/>
      <c r="K1177" s="105">
        <v>1</v>
      </c>
      <c r="L1177" s="105"/>
      <c r="M1177" s="105"/>
      <c r="N1177" s="105"/>
      <c r="O1177" s="105"/>
      <c r="P1177" s="105"/>
      <c r="Q1177" s="105"/>
      <c r="R1177" s="105"/>
      <c r="S1177" s="105"/>
      <c r="T1177" s="106"/>
      <c r="U1177" s="130" t="s">
        <v>230</v>
      </c>
      <c r="V1177" s="1"/>
      <c r="W1177" s="68">
        <f t="shared" si="294"/>
        <v>0</v>
      </c>
      <c r="X1177" s="68">
        <f t="shared" si="295"/>
        <v>0</v>
      </c>
      <c r="Y1177" s="68">
        <f t="shared" si="296"/>
        <v>0</v>
      </c>
      <c r="Z1177" s="68">
        <f t="shared" si="297"/>
        <v>0</v>
      </c>
      <c r="AA1177" s="68"/>
      <c r="AB1177" s="68">
        <v>0</v>
      </c>
      <c r="AC1177" s="69">
        <f t="shared" si="298"/>
        <v>0</v>
      </c>
      <c r="AD1177" s="70">
        <v>0</v>
      </c>
      <c r="AE1177" s="63">
        <v>40462</v>
      </c>
      <c r="AF1177" s="72"/>
      <c r="AG1177" s="63" t="s">
        <v>938</v>
      </c>
      <c r="AH1177" s="23" t="s">
        <v>939</v>
      </c>
      <c r="AI1177" s="60"/>
      <c r="AJ1177" s="124" t="s">
        <v>1608</v>
      </c>
      <c r="AK1177" s="121" t="s">
        <v>229</v>
      </c>
      <c r="AL1177" s="107"/>
      <c r="AM1177" s="108"/>
      <c r="AN1177" s="109"/>
      <c r="AO1177" s="108"/>
      <c r="AP1177" s="108"/>
      <c r="AQ1177" s="108"/>
      <c r="AR1177" s="108"/>
      <c r="AS1177" s="108"/>
      <c r="AT1177" s="108"/>
      <c r="AU1177" s="108"/>
      <c r="AV1177" s="108"/>
      <c r="AW1177" s="108"/>
      <c r="AX1177" s="108"/>
      <c r="AY1177" s="108"/>
      <c r="AZ1177" s="108"/>
      <c r="BA1177" s="108"/>
      <c r="BB1177" s="108"/>
      <c r="BC1177" s="108"/>
      <c r="BD1177" s="108"/>
      <c r="BE1177" s="108"/>
      <c r="BF1177" s="108"/>
      <c r="BG1177" s="108"/>
      <c r="BH1177" s="108"/>
      <c r="BI1177" s="108"/>
      <c r="BJ1177" s="108"/>
      <c r="BK1177" s="108"/>
      <c r="BL1177" s="108"/>
      <c r="BM1177" s="108"/>
      <c r="BN1177" s="108"/>
      <c r="BO1177" s="108"/>
      <c r="BP1177" s="108"/>
      <c r="BQ1177" s="108"/>
      <c r="BR1177" s="108"/>
      <c r="BS1177" s="108"/>
      <c r="BT1177" s="108"/>
      <c r="BU1177" s="108"/>
      <c r="BV1177" s="108"/>
      <c r="BW1177" s="108"/>
      <c r="BX1177" s="108"/>
      <c r="BY1177" s="108"/>
      <c r="BZ1177" s="108"/>
      <c r="CA1177" s="108"/>
      <c r="CB1177" s="108"/>
      <c r="CC1177" s="108"/>
      <c r="CD1177" s="108"/>
      <c r="CE1177" s="108"/>
      <c r="CF1177" s="108"/>
      <c r="CG1177" s="108"/>
      <c r="CH1177" s="108"/>
      <c r="CI1177" s="108"/>
      <c r="CJ1177" s="108"/>
      <c r="CK1177" s="108"/>
      <c r="CL1177" s="108"/>
      <c r="CM1177" s="108"/>
      <c r="CN1177" s="110"/>
      <c r="CO1177" s="111"/>
      <c r="CP1177" s="110"/>
      <c r="CQ1177" s="111"/>
      <c r="CR1177" s="110"/>
      <c r="CS1177" s="111"/>
      <c r="CT1177" s="112">
        <f t="shared" si="299"/>
        <v>0</v>
      </c>
      <c r="CU1177" s="113"/>
      <c r="CV1177" s="114"/>
      <c r="CW1177" s="115"/>
      <c r="CX1177" s="116"/>
      <c r="CY1177" s="117"/>
      <c r="CZ1177" s="116"/>
      <c r="DA1177" s="113"/>
      <c r="DB1177" s="114"/>
      <c r="DC1177" s="64"/>
      <c r="DD1177" s="118"/>
    </row>
    <row r="1178" spans="1:108" s="119" customFormat="1" outlineLevel="2">
      <c r="A1178" s="178">
        <v>40464</v>
      </c>
      <c r="B1178" s="164" t="s">
        <v>958</v>
      </c>
      <c r="C1178" s="164" t="s">
        <v>933</v>
      </c>
      <c r="D1178" s="166" t="s">
        <v>435</v>
      </c>
      <c r="E1178" s="163"/>
      <c r="F1178" s="105"/>
      <c r="G1178" s="105"/>
      <c r="H1178" s="105">
        <v>18</v>
      </c>
      <c r="I1178" s="105">
        <v>3</v>
      </c>
      <c r="J1178" s="105"/>
      <c r="K1178" s="105">
        <v>3</v>
      </c>
      <c r="L1178" s="105"/>
      <c r="M1178" s="105"/>
      <c r="N1178" s="105"/>
      <c r="O1178" s="105"/>
      <c r="P1178" s="105"/>
      <c r="Q1178" s="105"/>
      <c r="R1178" s="105"/>
      <c r="S1178" s="105"/>
      <c r="T1178" s="106"/>
      <c r="U1178" s="130"/>
      <c r="V1178" s="1"/>
      <c r="W1178" s="68">
        <f t="shared" si="294"/>
        <v>0</v>
      </c>
      <c r="X1178" s="68">
        <f t="shared" si="295"/>
        <v>0</v>
      </c>
      <c r="Y1178" s="68">
        <f t="shared" si="296"/>
        <v>0</v>
      </c>
      <c r="Z1178" s="68">
        <f t="shared" si="297"/>
        <v>0</v>
      </c>
      <c r="AA1178" s="68"/>
      <c r="AB1178" s="68">
        <v>0</v>
      </c>
      <c r="AC1178" s="69">
        <f t="shared" si="298"/>
        <v>0</v>
      </c>
      <c r="AD1178" s="70">
        <v>0</v>
      </c>
      <c r="AE1178" s="63">
        <v>40465</v>
      </c>
      <c r="AF1178" s="72"/>
      <c r="AG1178" s="63" t="s">
        <v>938</v>
      </c>
      <c r="AH1178" s="23" t="s">
        <v>939</v>
      </c>
      <c r="AI1178" s="60"/>
      <c r="AJ1178" s="124" t="s">
        <v>1608</v>
      </c>
      <c r="AK1178" s="121" t="s">
        <v>827</v>
      </c>
      <c r="AL1178" s="107"/>
      <c r="AM1178" s="108"/>
      <c r="AN1178" s="109"/>
      <c r="AO1178" s="108"/>
      <c r="AP1178" s="108"/>
      <c r="AQ1178" s="108"/>
      <c r="AR1178" s="108"/>
      <c r="AS1178" s="108"/>
      <c r="AT1178" s="108"/>
      <c r="AU1178" s="108"/>
      <c r="AV1178" s="108"/>
      <c r="AW1178" s="108"/>
      <c r="AX1178" s="108"/>
      <c r="AY1178" s="108"/>
      <c r="AZ1178" s="108"/>
      <c r="BA1178" s="108"/>
      <c r="BB1178" s="108"/>
      <c r="BC1178" s="108"/>
      <c r="BD1178" s="108"/>
      <c r="BE1178" s="108"/>
      <c r="BF1178" s="108"/>
      <c r="BG1178" s="108"/>
      <c r="BH1178" s="108"/>
      <c r="BI1178" s="108"/>
      <c r="BJ1178" s="108"/>
      <c r="BK1178" s="108"/>
      <c r="BL1178" s="108"/>
      <c r="BM1178" s="108"/>
      <c r="BN1178" s="108"/>
      <c r="BO1178" s="108"/>
      <c r="BP1178" s="108"/>
      <c r="BQ1178" s="108"/>
      <c r="BR1178" s="108"/>
      <c r="BS1178" s="108"/>
      <c r="BT1178" s="108"/>
      <c r="BU1178" s="108"/>
      <c r="BV1178" s="108"/>
      <c r="BW1178" s="108"/>
      <c r="BX1178" s="108"/>
      <c r="BY1178" s="108"/>
      <c r="BZ1178" s="108"/>
      <c r="CA1178" s="108"/>
      <c r="CB1178" s="108"/>
      <c r="CC1178" s="108"/>
      <c r="CD1178" s="108"/>
      <c r="CE1178" s="108"/>
      <c r="CF1178" s="108"/>
      <c r="CG1178" s="108"/>
      <c r="CH1178" s="108"/>
      <c r="CI1178" s="108"/>
      <c r="CJ1178" s="108"/>
      <c r="CK1178" s="108"/>
      <c r="CL1178" s="108"/>
      <c r="CM1178" s="108"/>
      <c r="CN1178" s="110"/>
      <c r="CO1178" s="111"/>
      <c r="CP1178" s="110"/>
      <c r="CQ1178" s="111"/>
      <c r="CR1178" s="110"/>
      <c r="CS1178" s="111"/>
      <c r="CT1178" s="112">
        <f t="shared" si="299"/>
        <v>0</v>
      </c>
      <c r="CU1178" s="113"/>
      <c r="CV1178" s="114"/>
      <c r="CW1178" s="115"/>
      <c r="CX1178" s="116"/>
      <c r="CY1178" s="117"/>
      <c r="CZ1178" s="116"/>
      <c r="DA1178" s="113"/>
      <c r="DB1178" s="114"/>
      <c r="DC1178" s="64"/>
      <c r="DD1178" s="118"/>
    </row>
    <row r="1179" spans="1:108" s="119" customFormat="1" outlineLevel="2">
      <c r="A1179" s="178">
        <v>40476</v>
      </c>
      <c r="B1179" s="164" t="s">
        <v>958</v>
      </c>
      <c r="C1179" s="164" t="s">
        <v>1973</v>
      </c>
      <c r="D1179" s="166" t="s">
        <v>1262</v>
      </c>
      <c r="E1179" s="163"/>
      <c r="F1179" s="105"/>
      <c r="G1179" s="105"/>
      <c r="H1179" s="105">
        <v>5</v>
      </c>
      <c r="I1179" s="105">
        <v>1</v>
      </c>
      <c r="J1179" s="105"/>
      <c r="K1179" s="105">
        <v>1</v>
      </c>
      <c r="L1179" s="105"/>
      <c r="M1179" s="105"/>
      <c r="N1179" s="105"/>
      <c r="O1179" s="105"/>
      <c r="P1179" s="105"/>
      <c r="Q1179" s="105"/>
      <c r="R1179" s="105">
        <v>1</v>
      </c>
      <c r="S1179" s="105"/>
      <c r="T1179" s="106"/>
      <c r="U1179" s="130"/>
      <c r="V1179" s="1"/>
      <c r="W1179" s="68">
        <f t="shared" si="294"/>
        <v>0</v>
      </c>
      <c r="X1179" s="68">
        <f t="shared" si="295"/>
        <v>0</v>
      </c>
      <c r="Y1179" s="68">
        <f t="shared" si="296"/>
        <v>0</v>
      </c>
      <c r="Z1179" s="68">
        <f t="shared" si="297"/>
        <v>0</v>
      </c>
      <c r="AA1179" s="68"/>
      <c r="AB1179" s="68">
        <v>0</v>
      </c>
      <c r="AC1179" s="69">
        <f t="shared" si="298"/>
        <v>0</v>
      </c>
      <c r="AD1179" s="70">
        <v>0</v>
      </c>
      <c r="AE1179" s="63">
        <v>40478</v>
      </c>
      <c r="AF1179" s="72"/>
      <c r="AG1179" s="63" t="s">
        <v>938</v>
      </c>
      <c r="AH1179" s="23" t="s">
        <v>939</v>
      </c>
      <c r="AI1179" s="60"/>
      <c r="AJ1179" s="124" t="s">
        <v>1608</v>
      </c>
      <c r="AK1179" s="121" t="s">
        <v>2348</v>
      </c>
      <c r="AL1179" s="107"/>
      <c r="AM1179" s="108"/>
      <c r="AN1179" s="109"/>
      <c r="AO1179" s="108"/>
      <c r="AP1179" s="108"/>
      <c r="AQ1179" s="108"/>
      <c r="AR1179" s="108"/>
      <c r="AS1179" s="108"/>
      <c r="AT1179" s="108"/>
      <c r="AU1179" s="108"/>
      <c r="AV1179" s="108"/>
      <c r="AW1179" s="108"/>
      <c r="AX1179" s="108"/>
      <c r="AY1179" s="108"/>
      <c r="AZ1179" s="108"/>
      <c r="BA1179" s="108"/>
      <c r="BB1179" s="108"/>
      <c r="BC1179" s="108"/>
      <c r="BD1179" s="108"/>
      <c r="BE1179" s="108"/>
      <c r="BF1179" s="108"/>
      <c r="BG1179" s="108"/>
      <c r="BH1179" s="108"/>
      <c r="BI1179" s="108"/>
      <c r="BJ1179" s="108"/>
      <c r="BK1179" s="108"/>
      <c r="BL1179" s="108"/>
      <c r="BM1179" s="108"/>
      <c r="BN1179" s="108"/>
      <c r="BO1179" s="108"/>
      <c r="BP1179" s="108"/>
      <c r="BQ1179" s="108"/>
      <c r="BR1179" s="108"/>
      <c r="BS1179" s="108"/>
      <c r="BT1179" s="108"/>
      <c r="BU1179" s="108"/>
      <c r="BV1179" s="108"/>
      <c r="BW1179" s="108"/>
      <c r="BX1179" s="108"/>
      <c r="BY1179" s="108"/>
      <c r="BZ1179" s="108"/>
      <c r="CA1179" s="108"/>
      <c r="CB1179" s="108"/>
      <c r="CC1179" s="108"/>
      <c r="CD1179" s="108"/>
      <c r="CE1179" s="108"/>
      <c r="CF1179" s="108"/>
      <c r="CG1179" s="108"/>
      <c r="CH1179" s="108"/>
      <c r="CI1179" s="108"/>
      <c r="CJ1179" s="108"/>
      <c r="CK1179" s="108"/>
      <c r="CL1179" s="108"/>
      <c r="CM1179" s="108"/>
      <c r="CN1179" s="110"/>
      <c r="CO1179" s="111"/>
      <c r="CP1179" s="110"/>
      <c r="CQ1179" s="111"/>
      <c r="CR1179" s="110"/>
      <c r="CS1179" s="111"/>
      <c r="CT1179" s="112">
        <f t="shared" si="299"/>
        <v>0</v>
      </c>
      <c r="CU1179" s="113"/>
      <c r="CV1179" s="114"/>
      <c r="CW1179" s="115"/>
      <c r="CX1179" s="116"/>
      <c r="CY1179" s="117"/>
      <c r="CZ1179" s="116"/>
      <c r="DA1179" s="113"/>
      <c r="DB1179" s="114"/>
      <c r="DC1179" s="64"/>
      <c r="DD1179" s="118"/>
    </row>
    <row r="1180" spans="1:108" s="119" customFormat="1" ht="36" outlineLevel="2">
      <c r="A1180" s="178">
        <v>40477</v>
      </c>
      <c r="B1180" s="164" t="s">
        <v>958</v>
      </c>
      <c r="C1180" s="164" t="s">
        <v>1973</v>
      </c>
      <c r="D1180" s="165" t="s">
        <v>1182</v>
      </c>
      <c r="E1180" s="163"/>
      <c r="F1180" s="105">
        <v>1</v>
      </c>
      <c r="G1180" s="105"/>
      <c r="H1180" s="105"/>
      <c r="I1180" s="105"/>
      <c r="J1180" s="105"/>
      <c r="K1180" s="105"/>
      <c r="L1180" s="105">
        <v>1</v>
      </c>
      <c r="M1180" s="105"/>
      <c r="N1180" s="105"/>
      <c r="O1180" s="105"/>
      <c r="P1180" s="105"/>
      <c r="Q1180" s="105"/>
      <c r="R1180" s="105"/>
      <c r="S1180" s="105"/>
      <c r="T1180" s="106"/>
      <c r="U1180" s="130"/>
      <c r="V1180" s="1"/>
      <c r="W1180" s="68">
        <f t="shared" si="294"/>
        <v>0</v>
      </c>
      <c r="X1180" s="68">
        <f t="shared" si="295"/>
        <v>0</v>
      </c>
      <c r="Y1180" s="68">
        <f t="shared" si="296"/>
        <v>0</v>
      </c>
      <c r="Z1180" s="68">
        <f t="shared" si="297"/>
        <v>0</v>
      </c>
      <c r="AA1180" s="68"/>
      <c r="AB1180" s="68">
        <v>0</v>
      </c>
      <c r="AC1180" s="69">
        <f t="shared" si="298"/>
        <v>0</v>
      </c>
      <c r="AD1180" s="70">
        <v>0</v>
      </c>
      <c r="AE1180" s="63">
        <v>40478</v>
      </c>
      <c r="AF1180" s="72"/>
      <c r="AG1180" s="63" t="s">
        <v>938</v>
      </c>
      <c r="AH1180" s="23" t="s">
        <v>939</v>
      </c>
      <c r="AI1180" s="60"/>
      <c r="AJ1180" s="124" t="s">
        <v>1608</v>
      </c>
      <c r="AK1180" s="121" t="s">
        <v>1829</v>
      </c>
      <c r="AL1180" s="107"/>
      <c r="AM1180" s="108"/>
      <c r="AN1180" s="109"/>
      <c r="AO1180" s="108"/>
      <c r="AP1180" s="108"/>
      <c r="AQ1180" s="108"/>
      <c r="AR1180" s="108"/>
      <c r="AS1180" s="108"/>
      <c r="AT1180" s="108"/>
      <c r="AU1180" s="108"/>
      <c r="AV1180" s="108"/>
      <c r="AW1180" s="108"/>
      <c r="AX1180" s="108"/>
      <c r="AY1180" s="108"/>
      <c r="AZ1180" s="108"/>
      <c r="BA1180" s="108"/>
      <c r="BB1180" s="108"/>
      <c r="BC1180" s="108"/>
      <c r="BD1180" s="108"/>
      <c r="BE1180" s="108"/>
      <c r="BF1180" s="108"/>
      <c r="BG1180" s="108"/>
      <c r="BH1180" s="108"/>
      <c r="BI1180" s="108"/>
      <c r="BJ1180" s="108"/>
      <c r="BK1180" s="108"/>
      <c r="BL1180" s="108"/>
      <c r="BM1180" s="108"/>
      <c r="BN1180" s="108"/>
      <c r="BO1180" s="108"/>
      <c r="BP1180" s="108"/>
      <c r="BQ1180" s="108"/>
      <c r="BR1180" s="108"/>
      <c r="BS1180" s="108"/>
      <c r="BT1180" s="108"/>
      <c r="BU1180" s="108"/>
      <c r="BV1180" s="108"/>
      <c r="BW1180" s="108"/>
      <c r="BX1180" s="108"/>
      <c r="BY1180" s="108"/>
      <c r="BZ1180" s="108"/>
      <c r="CA1180" s="108"/>
      <c r="CB1180" s="108"/>
      <c r="CC1180" s="108"/>
      <c r="CD1180" s="108"/>
      <c r="CE1180" s="108"/>
      <c r="CF1180" s="108"/>
      <c r="CG1180" s="108"/>
      <c r="CH1180" s="108"/>
      <c r="CI1180" s="108"/>
      <c r="CJ1180" s="108"/>
      <c r="CK1180" s="108"/>
      <c r="CL1180" s="108"/>
      <c r="CM1180" s="108"/>
      <c r="CN1180" s="110"/>
      <c r="CO1180" s="111"/>
      <c r="CP1180" s="110"/>
      <c r="CQ1180" s="111"/>
      <c r="CR1180" s="110"/>
      <c r="CS1180" s="111"/>
      <c r="CT1180" s="112">
        <f t="shared" si="299"/>
        <v>0</v>
      </c>
      <c r="CU1180" s="113"/>
      <c r="CV1180" s="114"/>
      <c r="CW1180" s="115"/>
      <c r="CX1180" s="116"/>
      <c r="CY1180" s="117"/>
      <c r="CZ1180" s="116"/>
      <c r="DA1180" s="113"/>
      <c r="DB1180" s="114"/>
      <c r="DC1180" s="64"/>
      <c r="DD1180" s="118"/>
    </row>
    <row r="1181" spans="1:108" s="119" customFormat="1" ht="24" outlineLevel="2">
      <c r="A1181" s="178">
        <v>40479</v>
      </c>
      <c r="B1181" s="164" t="s">
        <v>958</v>
      </c>
      <c r="C1181" s="164" t="s">
        <v>959</v>
      </c>
      <c r="D1181" s="165" t="s">
        <v>1182</v>
      </c>
      <c r="E1181" s="163"/>
      <c r="F1181" s="105"/>
      <c r="G1181" s="105"/>
      <c r="H1181" s="105"/>
      <c r="I1181" s="105"/>
      <c r="J1181" s="105"/>
      <c r="K1181" s="105"/>
      <c r="L1181" s="105">
        <v>1</v>
      </c>
      <c r="M1181" s="105"/>
      <c r="N1181" s="105"/>
      <c r="O1181" s="105"/>
      <c r="P1181" s="105"/>
      <c r="Q1181" s="105"/>
      <c r="R1181" s="105"/>
      <c r="S1181" s="105"/>
      <c r="T1181" s="106"/>
      <c r="U1181" s="130"/>
      <c r="V1181" s="1"/>
      <c r="W1181" s="68">
        <f t="shared" si="294"/>
        <v>0</v>
      </c>
      <c r="X1181" s="68">
        <f t="shared" si="295"/>
        <v>0</v>
      </c>
      <c r="Y1181" s="68">
        <f t="shared" si="296"/>
        <v>0</v>
      </c>
      <c r="Z1181" s="68">
        <f t="shared" si="297"/>
        <v>0</v>
      </c>
      <c r="AA1181" s="68"/>
      <c r="AB1181" s="68">
        <v>0</v>
      </c>
      <c r="AC1181" s="69">
        <f t="shared" si="298"/>
        <v>0</v>
      </c>
      <c r="AD1181" s="70">
        <v>0</v>
      </c>
      <c r="AE1181" s="63">
        <v>40482</v>
      </c>
      <c r="AF1181" s="72"/>
      <c r="AG1181" s="63" t="s">
        <v>938</v>
      </c>
      <c r="AH1181" s="23" t="s">
        <v>939</v>
      </c>
      <c r="AI1181" s="60"/>
      <c r="AJ1181" s="124" t="s">
        <v>1608</v>
      </c>
      <c r="AK1181" s="121" t="s">
        <v>1843</v>
      </c>
      <c r="AL1181" s="107"/>
      <c r="AM1181" s="108"/>
      <c r="AN1181" s="109"/>
      <c r="AO1181" s="108"/>
      <c r="AP1181" s="108"/>
      <c r="AQ1181" s="108"/>
      <c r="AR1181" s="108"/>
      <c r="AS1181" s="108"/>
      <c r="AT1181" s="108"/>
      <c r="AU1181" s="108"/>
      <c r="AV1181" s="108"/>
      <c r="AW1181" s="108"/>
      <c r="AX1181" s="108"/>
      <c r="AY1181" s="108"/>
      <c r="AZ1181" s="108"/>
      <c r="BA1181" s="108"/>
      <c r="BB1181" s="108"/>
      <c r="BC1181" s="108"/>
      <c r="BD1181" s="108"/>
      <c r="BE1181" s="108"/>
      <c r="BF1181" s="108"/>
      <c r="BG1181" s="108"/>
      <c r="BH1181" s="108"/>
      <c r="BI1181" s="108"/>
      <c r="BJ1181" s="108"/>
      <c r="BK1181" s="108"/>
      <c r="BL1181" s="108"/>
      <c r="BM1181" s="108"/>
      <c r="BN1181" s="108"/>
      <c r="BO1181" s="108"/>
      <c r="BP1181" s="108"/>
      <c r="BQ1181" s="108"/>
      <c r="BR1181" s="108"/>
      <c r="BS1181" s="108"/>
      <c r="BT1181" s="108"/>
      <c r="BU1181" s="108"/>
      <c r="BV1181" s="108"/>
      <c r="BW1181" s="108"/>
      <c r="BX1181" s="108"/>
      <c r="BY1181" s="108"/>
      <c r="BZ1181" s="108"/>
      <c r="CA1181" s="108"/>
      <c r="CB1181" s="108"/>
      <c r="CC1181" s="108"/>
      <c r="CD1181" s="108"/>
      <c r="CE1181" s="108"/>
      <c r="CF1181" s="108"/>
      <c r="CG1181" s="108"/>
      <c r="CH1181" s="108"/>
      <c r="CI1181" s="108"/>
      <c r="CJ1181" s="108"/>
      <c r="CK1181" s="108"/>
      <c r="CL1181" s="108"/>
      <c r="CM1181" s="108"/>
      <c r="CN1181" s="110"/>
      <c r="CO1181" s="111"/>
      <c r="CP1181" s="110"/>
      <c r="CQ1181" s="111"/>
      <c r="CR1181" s="110"/>
      <c r="CS1181" s="111"/>
      <c r="CT1181" s="112">
        <f t="shared" si="299"/>
        <v>0</v>
      </c>
      <c r="CU1181" s="113"/>
      <c r="CV1181" s="114"/>
      <c r="CW1181" s="115"/>
      <c r="CX1181" s="116"/>
      <c r="CY1181" s="117"/>
      <c r="CZ1181" s="116"/>
      <c r="DA1181" s="113"/>
      <c r="DB1181" s="114"/>
      <c r="DC1181" s="64"/>
      <c r="DD1181" s="118"/>
    </row>
    <row r="1182" spans="1:108" s="119" customFormat="1" ht="24" outlineLevel="2">
      <c r="A1182" s="178">
        <v>40479</v>
      </c>
      <c r="B1182" s="164" t="s">
        <v>958</v>
      </c>
      <c r="C1182" s="164" t="s">
        <v>1973</v>
      </c>
      <c r="D1182" s="165" t="s">
        <v>1182</v>
      </c>
      <c r="E1182" s="163"/>
      <c r="F1182" s="105"/>
      <c r="G1182" s="105"/>
      <c r="H1182" s="105"/>
      <c r="I1182" s="105"/>
      <c r="J1182" s="105"/>
      <c r="K1182" s="105"/>
      <c r="L1182" s="105">
        <v>1</v>
      </c>
      <c r="M1182" s="105"/>
      <c r="N1182" s="105"/>
      <c r="O1182" s="105"/>
      <c r="P1182" s="105"/>
      <c r="Q1182" s="105"/>
      <c r="R1182" s="105"/>
      <c r="S1182" s="105"/>
      <c r="T1182" s="106"/>
      <c r="U1182" s="130"/>
      <c r="V1182" s="1"/>
      <c r="W1182" s="68">
        <f t="shared" si="294"/>
        <v>0</v>
      </c>
      <c r="X1182" s="68">
        <f t="shared" si="295"/>
        <v>0</v>
      </c>
      <c r="Y1182" s="68">
        <f t="shared" si="296"/>
        <v>0</v>
      </c>
      <c r="Z1182" s="68">
        <f t="shared" si="297"/>
        <v>0</v>
      </c>
      <c r="AA1182" s="68"/>
      <c r="AB1182" s="68">
        <v>0</v>
      </c>
      <c r="AC1182" s="69">
        <f t="shared" si="298"/>
        <v>0</v>
      </c>
      <c r="AD1182" s="70">
        <v>0</v>
      </c>
      <c r="AE1182" s="63">
        <v>40482</v>
      </c>
      <c r="AF1182" s="72"/>
      <c r="AG1182" s="63" t="s">
        <v>938</v>
      </c>
      <c r="AH1182" s="23" t="s">
        <v>939</v>
      </c>
      <c r="AI1182" s="60"/>
      <c r="AJ1182" s="124" t="s">
        <v>1608</v>
      </c>
      <c r="AK1182" s="121" t="s">
        <v>1841</v>
      </c>
      <c r="AL1182" s="107"/>
      <c r="AM1182" s="108"/>
      <c r="AN1182" s="109"/>
      <c r="AO1182" s="108"/>
      <c r="AP1182" s="108"/>
      <c r="AQ1182" s="108"/>
      <c r="AR1182" s="108"/>
      <c r="AS1182" s="108"/>
      <c r="AT1182" s="108"/>
      <c r="AU1182" s="108"/>
      <c r="AV1182" s="108"/>
      <c r="AW1182" s="108"/>
      <c r="AX1182" s="108"/>
      <c r="AY1182" s="108"/>
      <c r="AZ1182" s="108"/>
      <c r="BA1182" s="108"/>
      <c r="BB1182" s="108"/>
      <c r="BC1182" s="108"/>
      <c r="BD1182" s="108"/>
      <c r="BE1182" s="108"/>
      <c r="BF1182" s="108"/>
      <c r="BG1182" s="108"/>
      <c r="BH1182" s="108"/>
      <c r="BI1182" s="108"/>
      <c r="BJ1182" s="108"/>
      <c r="BK1182" s="108"/>
      <c r="BL1182" s="108"/>
      <c r="BM1182" s="108"/>
      <c r="BN1182" s="108"/>
      <c r="BO1182" s="108"/>
      <c r="BP1182" s="108"/>
      <c r="BQ1182" s="108"/>
      <c r="BR1182" s="108"/>
      <c r="BS1182" s="108"/>
      <c r="BT1182" s="108"/>
      <c r="BU1182" s="108"/>
      <c r="BV1182" s="108"/>
      <c r="BW1182" s="108"/>
      <c r="BX1182" s="108"/>
      <c r="BY1182" s="108"/>
      <c r="BZ1182" s="108"/>
      <c r="CA1182" s="108"/>
      <c r="CB1182" s="108"/>
      <c r="CC1182" s="108"/>
      <c r="CD1182" s="108"/>
      <c r="CE1182" s="108"/>
      <c r="CF1182" s="108"/>
      <c r="CG1182" s="108"/>
      <c r="CH1182" s="108"/>
      <c r="CI1182" s="108"/>
      <c r="CJ1182" s="108"/>
      <c r="CK1182" s="108"/>
      <c r="CL1182" s="108"/>
      <c r="CM1182" s="108"/>
      <c r="CN1182" s="110"/>
      <c r="CO1182" s="111"/>
      <c r="CP1182" s="110"/>
      <c r="CQ1182" s="111"/>
      <c r="CR1182" s="110"/>
      <c r="CS1182" s="111"/>
      <c r="CT1182" s="112">
        <f t="shared" si="299"/>
        <v>0</v>
      </c>
      <c r="CU1182" s="113"/>
      <c r="CV1182" s="114"/>
      <c r="CW1182" s="115"/>
      <c r="CX1182" s="116"/>
      <c r="CY1182" s="117"/>
      <c r="CZ1182" s="116"/>
      <c r="DA1182" s="113"/>
      <c r="DB1182" s="114"/>
      <c r="DC1182" s="64"/>
      <c r="DD1182" s="118"/>
    </row>
    <row r="1183" spans="1:108" s="119" customFormat="1" ht="24" outlineLevel="2">
      <c r="A1183" s="178">
        <v>40479</v>
      </c>
      <c r="B1183" s="164" t="s">
        <v>958</v>
      </c>
      <c r="C1183" s="164" t="s">
        <v>1973</v>
      </c>
      <c r="D1183" s="166" t="s">
        <v>1262</v>
      </c>
      <c r="E1183" s="163"/>
      <c r="F1183" s="105"/>
      <c r="G1183" s="105"/>
      <c r="H1183" s="105">
        <v>50</v>
      </c>
      <c r="I1183" s="105">
        <v>10</v>
      </c>
      <c r="J1183" s="105"/>
      <c r="K1183" s="105">
        <v>10</v>
      </c>
      <c r="L1183" s="105"/>
      <c r="M1183" s="105"/>
      <c r="N1183" s="105"/>
      <c r="O1183" s="105"/>
      <c r="P1183" s="105"/>
      <c r="Q1183" s="105"/>
      <c r="R1183" s="105"/>
      <c r="S1183" s="105"/>
      <c r="T1183" s="106"/>
      <c r="U1183" s="130"/>
      <c r="V1183" s="1"/>
      <c r="W1183" s="68">
        <f t="shared" si="294"/>
        <v>0</v>
      </c>
      <c r="X1183" s="68">
        <f t="shared" si="295"/>
        <v>0</v>
      </c>
      <c r="Y1183" s="68">
        <f t="shared" si="296"/>
        <v>0</v>
      </c>
      <c r="Z1183" s="68">
        <f t="shared" si="297"/>
        <v>0</v>
      </c>
      <c r="AA1183" s="68"/>
      <c r="AB1183" s="68">
        <v>0</v>
      </c>
      <c r="AC1183" s="69">
        <f t="shared" si="298"/>
        <v>0</v>
      </c>
      <c r="AD1183" s="70">
        <v>0</v>
      </c>
      <c r="AE1183" s="63">
        <v>40482</v>
      </c>
      <c r="AF1183" s="72"/>
      <c r="AG1183" s="63" t="s">
        <v>938</v>
      </c>
      <c r="AH1183" s="23" t="s">
        <v>939</v>
      </c>
      <c r="AI1183" s="60"/>
      <c r="AJ1183" s="124" t="s">
        <v>1608</v>
      </c>
      <c r="AK1183" s="121" t="s">
        <v>1842</v>
      </c>
      <c r="AL1183" s="107"/>
      <c r="AM1183" s="108"/>
      <c r="AN1183" s="109"/>
      <c r="AO1183" s="108"/>
      <c r="AP1183" s="108"/>
      <c r="AQ1183" s="108"/>
      <c r="AR1183" s="108"/>
      <c r="AS1183" s="108"/>
      <c r="AT1183" s="108"/>
      <c r="AU1183" s="108"/>
      <c r="AV1183" s="108"/>
      <c r="AW1183" s="108"/>
      <c r="AX1183" s="108"/>
      <c r="AY1183" s="108"/>
      <c r="AZ1183" s="108"/>
      <c r="BA1183" s="108"/>
      <c r="BB1183" s="108"/>
      <c r="BC1183" s="108"/>
      <c r="BD1183" s="108"/>
      <c r="BE1183" s="108"/>
      <c r="BF1183" s="108"/>
      <c r="BG1183" s="108"/>
      <c r="BH1183" s="108"/>
      <c r="BI1183" s="108"/>
      <c r="BJ1183" s="108"/>
      <c r="BK1183" s="108"/>
      <c r="BL1183" s="108"/>
      <c r="BM1183" s="108"/>
      <c r="BN1183" s="108"/>
      <c r="BO1183" s="108"/>
      <c r="BP1183" s="108"/>
      <c r="BQ1183" s="108"/>
      <c r="BR1183" s="108"/>
      <c r="BS1183" s="108"/>
      <c r="BT1183" s="108"/>
      <c r="BU1183" s="108"/>
      <c r="BV1183" s="108"/>
      <c r="BW1183" s="108"/>
      <c r="BX1183" s="108"/>
      <c r="BY1183" s="108"/>
      <c r="BZ1183" s="108"/>
      <c r="CA1183" s="108"/>
      <c r="CB1183" s="108"/>
      <c r="CC1183" s="108"/>
      <c r="CD1183" s="108"/>
      <c r="CE1183" s="108"/>
      <c r="CF1183" s="108"/>
      <c r="CG1183" s="108"/>
      <c r="CH1183" s="108"/>
      <c r="CI1183" s="108"/>
      <c r="CJ1183" s="108"/>
      <c r="CK1183" s="108"/>
      <c r="CL1183" s="108"/>
      <c r="CM1183" s="108"/>
      <c r="CN1183" s="110"/>
      <c r="CO1183" s="111"/>
      <c r="CP1183" s="110"/>
      <c r="CQ1183" s="111"/>
      <c r="CR1183" s="110"/>
      <c r="CS1183" s="111"/>
      <c r="CT1183" s="112">
        <f t="shared" si="299"/>
        <v>0</v>
      </c>
      <c r="CU1183" s="113"/>
      <c r="CV1183" s="114"/>
      <c r="CW1183" s="115"/>
      <c r="CX1183" s="116"/>
      <c r="CY1183" s="117"/>
      <c r="CZ1183" s="116"/>
      <c r="DA1183" s="113"/>
      <c r="DB1183" s="114"/>
      <c r="DC1183" s="64"/>
      <c r="DD1183" s="118"/>
    </row>
    <row r="1184" spans="1:108" s="119" customFormat="1" outlineLevel="2">
      <c r="A1184" s="178">
        <v>40479</v>
      </c>
      <c r="B1184" s="164" t="s">
        <v>958</v>
      </c>
      <c r="C1184" s="164" t="s">
        <v>1839</v>
      </c>
      <c r="D1184" s="166" t="s">
        <v>1262</v>
      </c>
      <c r="E1184" s="163"/>
      <c r="F1184" s="105"/>
      <c r="G1184" s="105"/>
      <c r="H1184" s="105">
        <v>5</v>
      </c>
      <c r="I1184" s="105">
        <v>1</v>
      </c>
      <c r="J1184" s="105"/>
      <c r="K1184" s="105">
        <v>1</v>
      </c>
      <c r="L1184" s="105"/>
      <c r="M1184" s="105"/>
      <c r="N1184" s="105"/>
      <c r="O1184" s="105"/>
      <c r="P1184" s="105"/>
      <c r="Q1184" s="105"/>
      <c r="R1184" s="105"/>
      <c r="S1184" s="105"/>
      <c r="T1184" s="106"/>
      <c r="U1184" s="130"/>
      <c r="V1184" s="1"/>
      <c r="W1184" s="68">
        <f t="shared" si="294"/>
        <v>0</v>
      </c>
      <c r="X1184" s="68">
        <f t="shared" si="295"/>
        <v>0</v>
      </c>
      <c r="Y1184" s="68">
        <f t="shared" si="296"/>
        <v>0</v>
      </c>
      <c r="Z1184" s="68">
        <f t="shared" si="297"/>
        <v>0</v>
      </c>
      <c r="AA1184" s="68"/>
      <c r="AB1184" s="68">
        <v>0</v>
      </c>
      <c r="AC1184" s="69">
        <f t="shared" si="298"/>
        <v>0</v>
      </c>
      <c r="AD1184" s="70">
        <v>0</v>
      </c>
      <c r="AE1184" s="63">
        <v>40482</v>
      </c>
      <c r="AF1184" s="72"/>
      <c r="AG1184" s="63" t="s">
        <v>938</v>
      </c>
      <c r="AH1184" s="23" t="s">
        <v>939</v>
      </c>
      <c r="AI1184" s="60"/>
      <c r="AJ1184" s="124" t="s">
        <v>1608</v>
      </c>
      <c r="AK1184" s="121" t="s">
        <v>1840</v>
      </c>
      <c r="AL1184" s="107"/>
      <c r="AM1184" s="108"/>
      <c r="AN1184" s="109"/>
      <c r="AO1184" s="108"/>
      <c r="AP1184" s="108"/>
      <c r="AQ1184" s="108"/>
      <c r="AR1184" s="108"/>
      <c r="AS1184" s="108"/>
      <c r="AT1184" s="108"/>
      <c r="AU1184" s="108"/>
      <c r="AV1184" s="108"/>
      <c r="AW1184" s="108"/>
      <c r="AX1184" s="108"/>
      <c r="AY1184" s="108"/>
      <c r="AZ1184" s="108"/>
      <c r="BA1184" s="108"/>
      <c r="BB1184" s="108"/>
      <c r="BC1184" s="108"/>
      <c r="BD1184" s="108"/>
      <c r="BE1184" s="108"/>
      <c r="BF1184" s="108"/>
      <c r="BG1184" s="108"/>
      <c r="BH1184" s="108"/>
      <c r="BI1184" s="108"/>
      <c r="BJ1184" s="108"/>
      <c r="BK1184" s="108"/>
      <c r="BL1184" s="108"/>
      <c r="BM1184" s="108"/>
      <c r="BN1184" s="108"/>
      <c r="BO1184" s="108"/>
      <c r="BP1184" s="108"/>
      <c r="BQ1184" s="108"/>
      <c r="BR1184" s="108"/>
      <c r="BS1184" s="108"/>
      <c r="BT1184" s="108"/>
      <c r="BU1184" s="108"/>
      <c r="BV1184" s="108"/>
      <c r="BW1184" s="108"/>
      <c r="BX1184" s="108"/>
      <c r="BY1184" s="108"/>
      <c r="BZ1184" s="108"/>
      <c r="CA1184" s="108"/>
      <c r="CB1184" s="108"/>
      <c r="CC1184" s="108"/>
      <c r="CD1184" s="108"/>
      <c r="CE1184" s="108"/>
      <c r="CF1184" s="108"/>
      <c r="CG1184" s="108"/>
      <c r="CH1184" s="108"/>
      <c r="CI1184" s="108"/>
      <c r="CJ1184" s="108"/>
      <c r="CK1184" s="108"/>
      <c r="CL1184" s="108"/>
      <c r="CM1184" s="108"/>
      <c r="CN1184" s="110"/>
      <c r="CO1184" s="111"/>
      <c r="CP1184" s="110"/>
      <c r="CQ1184" s="111"/>
      <c r="CR1184" s="110"/>
      <c r="CS1184" s="111"/>
      <c r="CT1184" s="112">
        <f t="shared" si="299"/>
        <v>0</v>
      </c>
      <c r="CU1184" s="113"/>
      <c r="CV1184" s="114"/>
      <c r="CW1184" s="115"/>
      <c r="CX1184" s="116"/>
      <c r="CY1184" s="117"/>
      <c r="CZ1184" s="116"/>
      <c r="DA1184" s="113"/>
      <c r="DB1184" s="114"/>
      <c r="DC1184" s="64"/>
      <c r="DD1184" s="118"/>
    </row>
    <row r="1185" spans="1:108" s="119" customFormat="1" ht="24" outlineLevel="2">
      <c r="A1185" s="178">
        <v>40479</v>
      </c>
      <c r="B1185" s="164" t="s">
        <v>958</v>
      </c>
      <c r="C1185" s="164" t="s">
        <v>1360</v>
      </c>
      <c r="D1185" s="166" t="s">
        <v>1262</v>
      </c>
      <c r="E1185" s="163"/>
      <c r="F1185" s="105"/>
      <c r="G1185" s="105"/>
      <c r="H1185" s="105"/>
      <c r="I1185" s="105"/>
      <c r="J1185" s="105"/>
      <c r="K1185" s="105"/>
      <c r="L1185" s="105"/>
      <c r="M1185" s="105"/>
      <c r="N1185" s="105"/>
      <c r="O1185" s="105"/>
      <c r="P1185" s="105"/>
      <c r="Q1185" s="105"/>
      <c r="R1185" s="105"/>
      <c r="S1185" s="105"/>
      <c r="T1185" s="106"/>
      <c r="U1185" s="130"/>
      <c r="V1185" s="1"/>
      <c r="W1185" s="68">
        <f t="shared" si="294"/>
        <v>0</v>
      </c>
      <c r="X1185" s="68">
        <f t="shared" si="295"/>
        <v>0</v>
      </c>
      <c r="Y1185" s="68">
        <f t="shared" si="296"/>
        <v>0</v>
      </c>
      <c r="Z1185" s="68">
        <f t="shared" si="297"/>
        <v>0</v>
      </c>
      <c r="AA1185" s="68"/>
      <c r="AB1185" s="68">
        <v>0</v>
      </c>
      <c r="AC1185" s="69">
        <f t="shared" si="298"/>
        <v>0</v>
      </c>
      <c r="AD1185" s="70">
        <v>0</v>
      </c>
      <c r="AE1185" s="63">
        <v>40482</v>
      </c>
      <c r="AF1185" s="72"/>
      <c r="AG1185" s="63" t="s">
        <v>938</v>
      </c>
      <c r="AH1185" s="23" t="s">
        <v>939</v>
      </c>
      <c r="AI1185" s="60"/>
      <c r="AJ1185" s="124" t="s">
        <v>1608</v>
      </c>
      <c r="AK1185" s="121" t="s">
        <v>2354</v>
      </c>
      <c r="AL1185" s="107"/>
      <c r="AM1185" s="108"/>
      <c r="AN1185" s="109"/>
      <c r="AO1185" s="108"/>
      <c r="AP1185" s="108"/>
      <c r="AQ1185" s="108"/>
      <c r="AR1185" s="108"/>
      <c r="AS1185" s="108"/>
      <c r="AT1185" s="108"/>
      <c r="AU1185" s="108"/>
      <c r="AV1185" s="108"/>
      <c r="AW1185" s="108"/>
      <c r="AX1185" s="108"/>
      <c r="AY1185" s="108"/>
      <c r="AZ1185" s="108"/>
      <c r="BA1185" s="108"/>
      <c r="BB1185" s="108"/>
      <c r="BC1185" s="108"/>
      <c r="BD1185" s="108"/>
      <c r="BE1185" s="108"/>
      <c r="BF1185" s="108"/>
      <c r="BG1185" s="108"/>
      <c r="BH1185" s="108"/>
      <c r="BI1185" s="108"/>
      <c r="BJ1185" s="108"/>
      <c r="BK1185" s="108"/>
      <c r="BL1185" s="108"/>
      <c r="BM1185" s="108"/>
      <c r="BN1185" s="108"/>
      <c r="BO1185" s="108"/>
      <c r="BP1185" s="108"/>
      <c r="BQ1185" s="108"/>
      <c r="BR1185" s="108"/>
      <c r="BS1185" s="108"/>
      <c r="BT1185" s="108"/>
      <c r="BU1185" s="108"/>
      <c r="BV1185" s="108"/>
      <c r="BW1185" s="108"/>
      <c r="BX1185" s="108"/>
      <c r="BY1185" s="108"/>
      <c r="BZ1185" s="108"/>
      <c r="CA1185" s="108"/>
      <c r="CB1185" s="108"/>
      <c r="CC1185" s="108"/>
      <c r="CD1185" s="108"/>
      <c r="CE1185" s="108"/>
      <c r="CF1185" s="108"/>
      <c r="CG1185" s="108"/>
      <c r="CH1185" s="108"/>
      <c r="CI1185" s="108"/>
      <c r="CJ1185" s="108"/>
      <c r="CK1185" s="108"/>
      <c r="CL1185" s="108"/>
      <c r="CM1185" s="108"/>
      <c r="CN1185" s="110"/>
      <c r="CO1185" s="111"/>
      <c r="CP1185" s="110"/>
      <c r="CQ1185" s="111"/>
      <c r="CR1185" s="110"/>
      <c r="CS1185" s="111"/>
      <c r="CT1185" s="112">
        <f t="shared" si="299"/>
        <v>0</v>
      </c>
      <c r="CU1185" s="113"/>
      <c r="CV1185" s="114"/>
      <c r="CW1185" s="115"/>
      <c r="CX1185" s="116"/>
      <c r="CY1185" s="117"/>
      <c r="CZ1185" s="116"/>
      <c r="DA1185" s="113"/>
      <c r="DB1185" s="114"/>
      <c r="DC1185" s="64"/>
      <c r="DD1185" s="118"/>
    </row>
    <row r="1186" spans="1:108" s="119" customFormat="1" ht="24" outlineLevel="2">
      <c r="A1186" s="178">
        <v>40479</v>
      </c>
      <c r="B1186" s="164" t="s">
        <v>958</v>
      </c>
      <c r="C1186" s="164" t="s">
        <v>2278</v>
      </c>
      <c r="D1186" s="166" t="s">
        <v>1262</v>
      </c>
      <c r="E1186" s="163"/>
      <c r="F1186" s="105"/>
      <c r="G1186" s="105"/>
      <c r="H1186" s="105"/>
      <c r="I1186" s="105"/>
      <c r="J1186" s="105"/>
      <c r="K1186" s="105"/>
      <c r="L1186" s="105"/>
      <c r="M1186" s="105"/>
      <c r="N1186" s="105"/>
      <c r="O1186" s="105">
        <v>1</v>
      </c>
      <c r="P1186" s="105"/>
      <c r="Q1186" s="105"/>
      <c r="R1186" s="105"/>
      <c r="S1186" s="105"/>
      <c r="T1186" s="106"/>
      <c r="U1186" s="130"/>
      <c r="V1186" s="1"/>
      <c r="W1186" s="68">
        <f t="shared" si="294"/>
        <v>0</v>
      </c>
      <c r="X1186" s="68">
        <f t="shared" si="295"/>
        <v>0</v>
      </c>
      <c r="Y1186" s="68">
        <f t="shared" si="296"/>
        <v>0</v>
      </c>
      <c r="Z1186" s="68">
        <f t="shared" si="297"/>
        <v>0</v>
      </c>
      <c r="AA1186" s="68"/>
      <c r="AB1186" s="68">
        <v>0</v>
      </c>
      <c r="AC1186" s="69">
        <f t="shared" si="298"/>
        <v>0</v>
      </c>
      <c r="AD1186" s="70">
        <v>0</v>
      </c>
      <c r="AE1186" s="63">
        <v>40482</v>
      </c>
      <c r="AF1186" s="72"/>
      <c r="AG1186" s="63" t="s">
        <v>938</v>
      </c>
      <c r="AH1186" s="23" t="s">
        <v>939</v>
      </c>
      <c r="AI1186" s="60"/>
      <c r="AJ1186" s="124" t="s">
        <v>1608</v>
      </c>
      <c r="AK1186" s="121" t="s">
        <v>1845</v>
      </c>
      <c r="AL1186" s="107"/>
      <c r="AM1186" s="108"/>
      <c r="AN1186" s="109"/>
      <c r="AO1186" s="108"/>
      <c r="AP1186" s="108"/>
      <c r="AQ1186" s="108"/>
      <c r="AR1186" s="108"/>
      <c r="AS1186" s="108"/>
      <c r="AT1186" s="108"/>
      <c r="AU1186" s="108"/>
      <c r="AV1186" s="108"/>
      <c r="AW1186" s="108"/>
      <c r="AX1186" s="108"/>
      <c r="AY1186" s="108"/>
      <c r="AZ1186" s="108"/>
      <c r="BA1186" s="108"/>
      <c r="BB1186" s="108"/>
      <c r="BC1186" s="108"/>
      <c r="BD1186" s="108"/>
      <c r="BE1186" s="108"/>
      <c r="BF1186" s="108"/>
      <c r="BG1186" s="108"/>
      <c r="BH1186" s="108"/>
      <c r="BI1186" s="108"/>
      <c r="BJ1186" s="108"/>
      <c r="BK1186" s="108"/>
      <c r="BL1186" s="108"/>
      <c r="BM1186" s="108"/>
      <c r="BN1186" s="108"/>
      <c r="BO1186" s="108"/>
      <c r="BP1186" s="108"/>
      <c r="BQ1186" s="108"/>
      <c r="BR1186" s="108"/>
      <c r="BS1186" s="108"/>
      <c r="BT1186" s="108"/>
      <c r="BU1186" s="108"/>
      <c r="BV1186" s="108"/>
      <c r="BW1186" s="108"/>
      <c r="BX1186" s="108"/>
      <c r="BY1186" s="108"/>
      <c r="BZ1186" s="108"/>
      <c r="CA1186" s="108"/>
      <c r="CB1186" s="108"/>
      <c r="CC1186" s="108"/>
      <c r="CD1186" s="108"/>
      <c r="CE1186" s="108"/>
      <c r="CF1186" s="108"/>
      <c r="CG1186" s="108"/>
      <c r="CH1186" s="108"/>
      <c r="CI1186" s="108"/>
      <c r="CJ1186" s="108"/>
      <c r="CK1186" s="108"/>
      <c r="CL1186" s="108"/>
      <c r="CM1186" s="108"/>
      <c r="CN1186" s="110"/>
      <c r="CO1186" s="111"/>
      <c r="CP1186" s="110"/>
      <c r="CQ1186" s="111"/>
      <c r="CR1186" s="110"/>
      <c r="CS1186" s="111"/>
      <c r="CT1186" s="112">
        <f t="shared" si="299"/>
        <v>0</v>
      </c>
      <c r="CU1186" s="113"/>
      <c r="CV1186" s="114"/>
      <c r="CW1186" s="115"/>
      <c r="CX1186" s="116"/>
      <c r="CY1186" s="117"/>
      <c r="CZ1186" s="116"/>
      <c r="DA1186" s="113"/>
      <c r="DB1186" s="114"/>
      <c r="DC1186" s="64"/>
      <c r="DD1186" s="118"/>
    </row>
    <row r="1187" spans="1:108" s="119" customFormat="1" ht="24" outlineLevel="2">
      <c r="A1187" s="178">
        <v>40481</v>
      </c>
      <c r="B1187" s="164" t="s">
        <v>958</v>
      </c>
      <c r="C1187" s="164" t="s">
        <v>1973</v>
      </c>
      <c r="D1187" s="165" t="s">
        <v>1182</v>
      </c>
      <c r="E1187" s="163"/>
      <c r="F1187" s="105"/>
      <c r="G1187" s="105"/>
      <c r="H1187" s="105">
        <v>5</v>
      </c>
      <c r="I1187" s="105">
        <v>1</v>
      </c>
      <c r="J1187" s="105">
        <v>1</v>
      </c>
      <c r="K1187" s="105"/>
      <c r="L1187" s="105"/>
      <c r="M1187" s="105"/>
      <c r="N1187" s="105"/>
      <c r="O1187" s="105"/>
      <c r="P1187" s="105"/>
      <c r="Q1187" s="105"/>
      <c r="R1187" s="105"/>
      <c r="S1187" s="105"/>
      <c r="T1187" s="106"/>
      <c r="U1187" s="130"/>
      <c r="V1187" s="1"/>
      <c r="W1187" s="68">
        <f t="shared" si="294"/>
        <v>0</v>
      </c>
      <c r="X1187" s="68">
        <f t="shared" si="295"/>
        <v>0</v>
      </c>
      <c r="Y1187" s="68">
        <f t="shared" si="296"/>
        <v>0</v>
      </c>
      <c r="Z1187" s="68">
        <f t="shared" si="297"/>
        <v>0</v>
      </c>
      <c r="AA1187" s="68"/>
      <c r="AB1187" s="68">
        <v>0</v>
      </c>
      <c r="AC1187" s="69">
        <f t="shared" si="298"/>
        <v>0</v>
      </c>
      <c r="AD1187" s="70">
        <v>0</v>
      </c>
      <c r="AE1187" s="63">
        <v>40482</v>
      </c>
      <c r="AF1187" s="72"/>
      <c r="AG1187" s="63" t="s">
        <v>938</v>
      </c>
      <c r="AH1187" s="23" t="s">
        <v>939</v>
      </c>
      <c r="AI1187" s="60"/>
      <c r="AJ1187" s="124" t="s">
        <v>1608</v>
      </c>
      <c r="AK1187" s="121" t="s">
        <v>2360</v>
      </c>
      <c r="AL1187" s="107"/>
      <c r="AM1187" s="108"/>
      <c r="AN1187" s="109"/>
      <c r="AO1187" s="108"/>
      <c r="AP1187" s="108"/>
      <c r="AQ1187" s="108"/>
      <c r="AR1187" s="108"/>
      <c r="AS1187" s="108"/>
      <c r="AT1187" s="108"/>
      <c r="AU1187" s="108"/>
      <c r="AV1187" s="108"/>
      <c r="AW1187" s="108"/>
      <c r="AX1187" s="108"/>
      <c r="AY1187" s="108"/>
      <c r="AZ1187" s="108"/>
      <c r="BA1187" s="108"/>
      <c r="BB1187" s="108"/>
      <c r="BC1187" s="108"/>
      <c r="BD1187" s="108"/>
      <c r="BE1187" s="108"/>
      <c r="BF1187" s="108"/>
      <c r="BG1187" s="108"/>
      <c r="BH1187" s="108"/>
      <c r="BI1187" s="108"/>
      <c r="BJ1187" s="108"/>
      <c r="BK1187" s="108"/>
      <c r="BL1187" s="108"/>
      <c r="BM1187" s="108"/>
      <c r="BN1187" s="108"/>
      <c r="BO1187" s="108"/>
      <c r="BP1187" s="108"/>
      <c r="BQ1187" s="108"/>
      <c r="BR1187" s="108"/>
      <c r="BS1187" s="108"/>
      <c r="BT1187" s="108"/>
      <c r="BU1187" s="108"/>
      <c r="BV1187" s="108"/>
      <c r="BW1187" s="108"/>
      <c r="BX1187" s="108"/>
      <c r="BY1187" s="108"/>
      <c r="BZ1187" s="108"/>
      <c r="CA1187" s="108"/>
      <c r="CB1187" s="108"/>
      <c r="CC1187" s="108"/>
      <c r="CD1187" s="108"/>
      <c r="CE1187" s="108"/>
      <c r="CF1187" s="108"/>
      <c r="CG1187" s="108"/>
      <c r="CH1187" s="108"/>
      <c r="CI1187" s="108"/>
      <c r="CJ1187" s="108"/>
      <c r="CK1187" s="108"/>
      <c r="CL1187" s="108"/>
      <c r="CM1187" s="108"/>
      <c r="CN1187" s="110"/>
      <c r="CO1187" s="111"/>
      <c r="CP1187" s="110"/>
      <c r="CQ1187" s="111"/>
      <c r="CR1187" s="110"/>
      <c r="CS1187" s="111"/>
      <c r="CT1187" s="112">
        <f t="shared" si="299"/>
        <v>0</v>
      </c>
      <c r="CU1187" s="113"/>
      <c r="CV1187" s="114"/>
      <c r="CW1187" s="115"/>
      <c r="CX1187" s="116"/>
      <c r="CY1187" s="117"/>
      <c r="CZ1187" s="116"/>
      <c r="DA1187" s="113"/>
      <c r="DB1187" s="114"/>
      <c r="DC1187" s="64"/>
      <c r="DD1187" s="118"/>
    </row>
    <row r="1188" spans="1:108" s="119" customFormat="1" ht="36" outlineLevel="2">
      <c r="A1188" s="178">
        <v>40483</v>
      </c>
      <c r="B1188" s="164" t="s">
        <v>958</v>
      </c>
      <c r="C1188" s="164" t="s">
        <v>1929</v>
      </c>
      <c r="D1188" s="166" t="s">
        <v>1262</v>
      </c>
      <c r="E1188" s="163"/>
      <c r="F1188" s="105">
        <v>4</v>
      </c>
      <c r="G1188" s="105"/>
      <c r="H1188" s="105"/>
      <c r="I1188" s="105"/>
      <c r="J1188" s="105"/>
      <c r="K1188" s="105"/>
      <c r="L1188" s="105"/>
      <c r="M1188" s="105"/>
      <c r="N1188" s="105"/>
      <c r="O1188" s="105"/>
      <c r="P1188" s="105"/>
      <c r="Q1188" s="105"/>
      <c r="R1188" s="105"/>
      <c r="S1188" s="105"/>
      <c r="T1188" s="106"/>
      <c r="U1188" s="130"/>
      <c r="V1188" s="1"/>
      <c r="W1188" s="68">
        <f t="shared" si="294"/>
        <v>0</v>
      </c>
      <c r="X1188" s="68">
        <f t="shared" si="295"/>
        <v>0</v>
      </c>
      <c r="Y1188" s="68">
        <f t="shared" si="296"/>
        <v>0</v>
      </c>
      <c r="Z1188" s="68">
        <f t="shared" si="297"/>
        <v>0</v>
      </c>
      <c r="AA1188" s="68"/>
      <c r="AB1188" s="68">
        <v>0</v>
      </c>
      <c r="AC1188" s="69">
        <f t="shared" si="298"/>
        <v>0</v>
      </c>
      <c r="AD1188" s="70">
        <v>0</v>
      </c>
      <c r="AE1188" s="63">
        <v>40484</v>
      </c>
      <c r="AF1188" s="72"/>
      <c r="AG1188" s="63" t="s">
        <v>938</v>
      </c>
      <c r="AH1188" s="23" t="s">
        <v>939</v>
      </c>
      <c r="AI1188" s="83"/>
      <c r="AJ1188" s="124" t="s">
        <v>1608</v>
      </c>
      <c r="AK1188" s="121" t="s">
        <v>1031</v>
      </c>
      <c r="AL1188" s="107"/>
      <c r="AM1188" s="108"/>
      <c r="AN1188" s="109"/>
      <c r="AO1188" s="108"/>
      <c r="AP1188" s="108"/>
      <c r="AQ1188" s="108"/>
      <c r="AR1188" s="108"/>
      <c r="AS1188" s="108"/>
      <c r="AT1188" s="108"/>
      <c r="AU1188" s="108"/>
      <c r="AV1188" s="108"/>
      <c r="AW1188" s="108"/>
      <c r="AX1188" s="108"/>
      <c r="AY1188" s="108"/>
      <c r="AZ1188" s="108"/>
      <c r="BA1188" s="108"/>
      <c r="BB1188" s="108"/>
      <c r="BC1188" s="108"/>
      <c r="BD1188" s="108"/>
      <c r="BE1188" s="108"/>
      <c r="BF1188" s="108"/>
      <c r="BG1188" s="108"/>
      <c r="BH1188" s="108"/>
      <c r="BI1188" s="108"/>
      <c r="BJ1188" s="108"/>
      <c r="BK1188" s="108"/>
      <c r="BL1188" s="108"/>
      <c r="BM1188" s="108"/>
      <c r="BN1188" s="108"/>
      <c r="BO1188" s="108"/>
      <c r="BP1188" s="108"/>
      <c r="BQ1188" s="108"/>
      <c r="BR1188" s="108"/>
      <c r="BS1188" s="108"/>
      <c r="BT1188" s="108"/>
      <c r="BU1188" s="108"/>
      <c r="BV1188" s="108"/>
      <c r="BW1188" s="108"/>
      <c r="BX1188" s="108"/>
      <c r="BY1188" s="108"/>
      <c r="BZ1188" s="108"/>
      <c r="CA1188" s="108"/>
      <c r="CB1188" s="108"/>
      <c r="CC1188" s="108"/>
      <c r="CD1188" s="108"/>
      <c r="CE1188" s="108"/>
      <c r="CF1188" s="108"/>
      <c r="CG1188" s="108"/>
      <c r="CH1188" s="108"/>
      <c r="CI1188" s="108"/>
      <c r="CJ1188" s="108"/>
      <c r="CK1188" s="108"/>
      <c r="CL1188" s="108"/>
      <c r="CM1188" s="108"/>
      <c r="CN1188" s="110"/>
      <c r="CO1188" s="111"/>
      <c r="CP1188" s="110"/>
      <c r="CQ1188" s="111"/>
      <c r="CR1188" s="110"/>
      <c r="CS1188" s="111"/>
      <c r="CT1188" s="112">
        <f t="shared" si="299"/>
        <v>0</v>
      </c>
      <c r="CU1188" s="113"/>
      <c r="CV1188" s="114"/>
      <c r="CW1188" s="115"/>
      <c r="CX1188" s="116"/>
      <c r="CY1188" s="117"/>
      <c r="CZ1188" s="116"/>
      <c r="DA1188" s="113"/>
      <c r="DB1188" s="114"/>
      <c r="DC1188" s="64"/>
      <c r="DD1188" s="118"/>
    </row>
    <row r="1189" spans="1:108" s="119" customFormat="1" ht="24" outlineLevel="2">
      <c r="A1189" s="178">
        <v>40483</v>
      </c>
      <c r="B1189" s="164" t="s">
        <v>958</v>
      </c>
      <c r="C1189" s="164" t="s">
        <v>238</v>
      </c>
      <c r="D1189" s="166" t="s">
        <v>1262</v>
      </c>
      <c r="E1189" s="163"/>
      <c r="F1189" s="105"/>
      <c r="G1189" s="105"/>
      <c r="H1189" s="105">
        <v>10</v>
      </c>
      <c r="I1189" s="105">
        <v>2</v>
      </c>
      <c r="J1189" s="105"/>
      <c r="K1189" s="105">
        <v>2</v>
      </c>
      <c r="L1189" s="105"/>
      <c r="M1189" s="105"/>
      <c r="N1189" s="105"/>
      <c r="O1189" s="105"/>
      <c r="P1189" s="105"/>
      <c r="Q1189" s="105"/>
      <c r="R1189" s="105"/>
      <c r="S1189" s="105"/>
      <c r="T1189" s="106"/>
      <c r="U1189" s="130"/>
      <c r="V1189" s="1"/>
      <c r="W1189" s="68">
        <f t="shared" si="294"/>
        <v>0</v>
      </c>
      <c r="X1189" s="68">
        <f t="shared" si="295"/>
        <v>0</v>
      </c>
      <c r="Y1189" s="68">
        <f t="shared" si="296"/>
        <v>0</v>
      </c>
      <c r="Z1189" s="68">
        <f t="shared" si="297"/>
        <v>0</v>
      </c>
      <c r="AA1189" s="68"/>
      <c r="AB1189" s="68">
        <v>0</v>
      </c>
      <c r="AC1189" s="69">
        <f t="shared" si="298"/>
        <v>0</v>
      </c>
      <c r="AD1189" s="70">
        <v>0</v>
      </c>
      <c r="AE1189" s="63">
        <v>40484</v>
      </c>
      <c r="AF1189" s="72"/>
      <c r="AG1189" s="63" t="s">
        <v>938</v>
      </c>
      <c r="AH1189" s="23" t="s">
        <v>939</v>
      </c>
      <c r="AI1189" s="83"/>
      <c r="AJ1189" s="124" t="s">
        <v>1608</v>
      </c>
      <c r="AK1189" s="121" t="s">
        <v>1030</v>
      </c>
      <c r="AL1189" s="107"/>
      <c r="AM1189" s="108"/>
      <c r="AN1189" s="109"/>
      <c r="AO1189" s="108"/>
      <c r="AP1189" s="108"/>
      <c r="AQ1189" s="108"/>
      <c r="AR1189" s="108"/>
      <c r="AS1189" s="108"/>
      <c r="AT1189" s="108"/>
      <c r="AU1189" s="108"/>
      <c r="AV1189" s="108"/>
      <c r="AW1189" s="108"/>
      <c r="AX1189" s="108"/>
      <c r="AY1189" s="108"/>
      <c r="AZ1189" s="108"/>
      <c r="BA1189" s="108"/>
      <c r="BB1189" s="108"/>
      <c r="BC1189" s="108"/>
      <c r="BD1189" s="108"/>
      <c r="BE1189" s="108"/>
      <c r="BF1189" s="108"/>
      <c r="BG1189" s="108"/>
      <c r="BH1189" s="108"/>
      <c r="BI1189" s="108"/>
      <c r="BJ1189" s="108"/>
      <c r="BK1189" s="108"/>
      <c r="BL1189" s="108"/>
      <c r="BM1189" s="108"/>
      <c r="BN1189" s="108"/>
      <c r="BO1189" s="108"/>
      <c r="BP1189" s="108"/>
      <c r="BQ1189" s="108"/>
      <c r="BR1189" s="108"/>
      <c r="BS1189" s="108"/>
      <c r="BT1189" s="108"/>
      <c r="BU1189" s="108"/>
      <c r="BV1189" s="108"/>
      <c r="BW1189" s="108"/>
      <c r="BX1189" s="108"/>
      <c r="BY1189" s="108"/>
      <c r="BZ1189" s="108"/>
      <c r="CA1189" s="108"/>
      <c r="CB1189" s="108"/>
      <c r="CC1189" s="108"/>
      <c r="CD1189" s="108"/>
      <c r="CE1189" s="108"/>
      <c r="CF1189" s="108"/>
      <c r="CG1189" s="108"/>
      <c r="CH1189" s="108"/>
      <c r="CI1189" s="108"/>
      <c r="CJ1189" s="108"/>
      <c r="CK1189" s="108"/>
      <c r="CL1189" s="108"/>
      <c r="CM1189" s="108"/>
      <c r="CN1189" s="110"/>
      <c r="CO1189" s="111"/>
      <c r="CP1189" s="110"/>
      <c r="CQ1189" s="111"/>
      <c r="CR1189" s="110"/>
      <c r="CS1189" s="111"/>
      <c r="CT1189" s="112">
        <f t="shared" si="299"/>
        <v>0</v>
      </c>
      <c r="CU1189" s="113"/>
      <c r="CV1189" s="114"/>
      <c r="CW1189" s="115"/>
      <c r="CX1189" s="116"/>
      <c r="CY1189" s="117"/>
      <c r="CZ1189" s="116"/>
      <c r="DA1189" s="113"/>
      <c r="DB1189" s="114"/>
      <c r="DC1189" s="64"/>
      <c r="DD1189" s="118"/>
    </row>
    <row r="1190" spans="1:108" s="119" customFormat="1" ht="24" outlineLevel="2">
      <c r="A1190" s="178">
        <v>40485</v>
      </c>
      <c r="B1190" s="164" t="s">
        <v>958</v>
      </c>
      <c r="C1190" s="164" t="s">
        <v>238</v>
      </c>
      <c r="D1190" s="165" t="s">
        <v>1182</v>
      </c>
      <c r="E1190" s="163"/>
      <c r="F1190" s="105"/>
      <c r="G1190" s="105"/>
      <c r="H1190" s="105"/>
      <c r="I1190" s="105"/>
      <c r="J1190" s="105"/>
      <c r="K1190" s="105"/>
      <c r="L1190" s="105">
        <v>2</v>
      </c>
      <c r="M1190" s="105"/>
      <c r="N1190" s="105"/>
      <c r="O1190" s="105"/>
      <c r="P1190" s="105"/>
      <c r="Q1190" s="105"/>
      <c r="R1190" s="105"/>
      <c r="S1190" s="105"/>
      <c r="T1190" s="106"/>
      <c r="U1190" s="130"/>
      <c r="V1190" s="1"/>
      <c r="W1190" s="68">
        <f t="shared" si="294"/>
        <v>0</v>
      </c>
      <c r="X1190" s="68">
        <f t="shared" si="295"/>
        <v>0</v>
      </c>
      <c r="Y1190" s="68">
        <f t="shared" si="296"/>
        <v>0</v>
      </c>
      <c r="Z1190" s="68">
        <f t="shared" si="297"/>
        <v>0</v>
      </c>
      <c r="AA1190" s="68"/>
      <c r="AB1190" s="68">
        <v>0</v>
      </c>
      <c r="AC1190" s="69">
        <f t="shared" si="298"/>
        <v>0</v>
      </c>
      <c r="AD1190" s="70">
        <v>0</v>
      </c>
      <c r="AE1190" s="63">
        <v>40484</v>
      </c>
      <c r="AF1190" s="72"/>
      <c r="AG1190" s="63" t="s">
        <v>938</v>
      </c>
      <c r="AH1190" s="23" t="s">
        <v>939</v>
      </c>
      <c r="AI1190" s="83"/>
      <c r="AJ1190" s="124" t="s">
        <v>1608</v>
      </c>
      <c r="AK1190" s="121" t="s">
        <v>367</v>
      </c>
      <c r="AL1190" s="107"/>
      <c r="AM1190" s="108"/>
      <c r="AN1190" s="109"/>
      <c r="AO1190" s="108"/>
      <c r="AP1190" s="108"/>
      <c r="AQ1190" s="108"/>
      <c r="AR1190" s="108"/>
      <c r="AS1190" s="108"/>
      <c r="AT1190" s="108"/>
      <c r="AU1190" s="108"/>
      <c r="AV1190" s="108"/>
      <c r="AW1190" s="108"/>
      <c r="AX1190" s="108"/>
      <c r="AY1190" s="108"/>
      <c r="AZ1190" s="108"/>
      <c r="BA1190" s="108"/>
      <c r="BB1190" s="108"/>
      <c r="BC1190" s="108"/>
      <c r="BD1190" s="108"/>
      <c r="BE1190" s="108"/>
      <c r="BF1190" s="108"/>
      <c r="BG1190" s="108"/>
      <c r="BH1190" s="108"/>
      <c r="BI1190" s="108"/>
      <c r="BJ1190" s="108"/>
      <c r="BK1190" s="108"/>
      <c r="BL1190" s="108"/>
      <c r="BM1190" s="108"/>
      <c r="BN1190" s="108"/>
      <c r="BO1190" s="108"/>
      <c r="BP1190" s="108"/>
      <c r="BQ1190" s="108"/>
      <c r="BR1190" s="108"/>
      <c r="BS1190" s="108"/>
      <c r="BT1190" s="108"/>
      <c r="BU1190" s="108"/>
      <c r="BV1190" s="108"/>
      <c r="BW1190" s="108"/>
      <c r="BX1190" s="108"/>
      <c r="BY1190" s="108"/>
      <c r="BZ1190" s="108"/>
      <c r="CA1190" s="108"/>
      <c r="CB1190" s="108"/>
      <c r="CC1190" s="108"/>
      <c r="CD1190" s="108"/>
      <c r="CE1190" s="108"/>
      <c r="CF1190" s="108"/>
      <c r="CG1190" s="108"/>
      <c r="CH1190" s="108"/>
      <c r="CI1190" s="108"/>
      <c r="CJ1190" s="108"/>
      <c r="CK1190" s="108"/>
      <c r="CL1190" s="108"/>
      <c r="CM1190" s="108"/>
      <c r="CN1190" s="110"/>
      <c r="CO1190" s="111"/>
      <c r="CP1190" s="110"/>
      <c r="CQ1190" s="111"/>
      <c r="CR1190" s="110"/>
      <c r="CS1190" s="111"/>
      <c r="CT1190" s="112">
        <f t="shared" si="299"/>
        <v>0</v>
      </c>
      <c r="CU1190" s="113"/>
      <c r="CV1190" s="114"/>
      <c r="CW1190" s="115"/>
      <c r="CX1190" s="116"/>
      <c r="CY1190" s="117"/>
      <c r="CZ1190" s="116"/>
      <c r="DA1190" s="113"/>
      <c r="DB1190" s="114"/>
      <c r="DC1190" s="64"/>
      <c r="DD1190" s="118"/>
    </row>
    <row r="1191" spans="1:108" s="119" customFormat="1" ht="24" outlineLevel="2">
      <c r="A1191" s="178">
        <v>40485</v>
      </c>
      <c r="B1191" s="164" t="s">
        <v>958</v>
      </c>
      <c r="C1191" s="164" t="s">
        <v>1831</v>
      </c>
      <c r="D1191" s="165" t="s">
        <v>1182</v>
      </c>
      <c r="E1191" s="163"/>
      <c r="F1191" s="105"/>
      <c r="G1191" s="105"/>
      <c r="H1191" s="105">
        <v>25</v>
      </c>
      <c r="I1191" s="105">
        <v>5</v>
      </c>
      <c r="J1191" s="105">
        <v>2</v>
      </c>
      <c r="K1191" s="105">
        <v>3</v>
      </c>
      <c r="L1191" s="105"/>
      <c r="M1191" s="105"/>
      <c r="N1191" s="105"/>
      <c r="O1191" s="105"/>
      <c r="P1191" s="105"/>
      <c r="Q1191" s="105"/>
      <c r="R1191" s="105"/>
      <c r="S1191" s="105"/>
      <c r="T1191" s="106"/>
      <c r="U1191" s="130"/>
      <c r="V1191" s="1"/>
      <c r="W1191" s="68">
        <f t="shared" si="294"/>
        <v>0</v>
      </c>
      <c r="X1191" s="68">
        <f t="shared" si="295"/>
        <v>0</v>
      </c>
      <c r="Y1191" s="68">
        <f t="shared" si="296"/>
        <v>0</v>
      </c>
      <c r="Z1191" s="68">
        <f t="shared" si="297"/>
        <v>0</v>
      </c>
      <c r="AA1191" s="68"/>
      <c r="AB1191" s="68">
        <v>0</v>
      </c>
      <c r="AC1191" s="69">
        <f t="shared" si="298"/>
        <v>0</v>
      </c>
      <c r="AD1191" s="70">
        <v>0</v>
      </c>
      <c r="AE1191" s="63">
        <v>40487</v>
      </c>
      <c r="AF1191" s="72"/>
      <c r="AG1191" s="63" t="s">
        <v>938</v>
      </c>
      <c r="AH1191" s="23" t="s">
        <v>939</v>
      </c>
      <c r="AI1191" s="60"/>
      <c r="AJ1191" s="124" t="s">
        <v>1608</v>
      </c>
      <c r="AK1191" s="121" t="s">
        <v>390</v>
      </c>
      <c r="AL1191" s="107"/>
      <c r="AM1191" s="108"/>
      <c r="AN1191" s="109"/>
      <c r="AO1191" s="108"/>
      <c r="AP1191" s="108"/>
      <c r="AQ1191" s="108"/>
      <c r="AR1191" s="108"/>
      <c r="AS1191" s="108"/>
      <c r="AT1191" s="108"/>
      <c r="AU1191" s="108"/>
      <c r="AV1191" s="108"/>
      <c r="AW1191" s="108"/>
      <c r="AX1191" s="108"/>
      <c r="AY1191" s="108"/>
      <c r="AZ1191" s="108"/>
      <c r="BA1191" s="108"/>
      <c r="BB1191" s="108"/>
      <c r="BC1191" s="108"/>
      <c r="BD1191" s="108"/>
      <c r="BE1191" s="108"/>
      <c r="BF1191" s="108"/>
      <c r="BG1191" s="108"/>
      <c r="BH1191" s="108"/>
      <c r="BI1191" s="108"/>
      <c r="BJ1191" s="108"/>
      <c r="BK1191" s="108"/>
      <c r="BL1191" s="108"/>
      <c r="BM1191" s="108"/>
      <c r="BN1191" s="108"/>
      <c r="BO1191" s="108"/>
      <c r="BP1191" s="108"/>
      <c r="BQ1191" s="108"/>
      <c r="BR1191" s="108"/>
      <c r="BS1191" s="108"/>
      <c r="BT1191" s="108"/>
      <c r="BU1191" s="108"/>
      <c r="BV1191" s="108"/>
      <c r="BW1191" s="108"/>
      <c r="BX1191" s="108"/>
      <c r="BY1191" s="108"/>
      <c r="BZ1191" s="108"/>
      <c r="CA1191" s="108"/>
      <c r="CB1191" s="108"/>
      <c r="CC1191" s="108"/>
      <c r="CD1191" s="108"/>
      <c r="CE1191" s="108"/>
      <c r="CF1191" s="108"/>
      <c r="CG1191" s="108"/>
      <c r="CH1191" s="108"/>
      <c r="CI1191" s="108"/>
      <c r="CJ1191" s="108"/>
      <c r="CK1191" s="108"/>
      <c r="CL1191" s="108"/>
      <c r="CM1191" s="108"/>
      <c r="CN1191" s="110"/>
      <c r="CO1191" s="111"/>
      <c r="CP1191" s="110"/>
      <c r="CQ1191" s="111"/>
      <c r="CR1191" s="110"/>
      <c r="CS1191" s="111"/>
      <c r="CT1191" s="112">
        <f t="shared" si="299"/>
        <v>0</v>
      </c>
      <c r="CU1191" s="113"/>
      <c r="CV1191" s="114"/>
      <c r="CW1191" s="115"/>
      <c r="CX1191" s="116"/>
      <c r="CY1191" s="117"/>
      <c r="CZ1191" s="116"/>
      <c r="DA1191" s="113"/>
      <c r="DB1191" s="114"/>
      <c r="DC1191" s="64"/>
      <c r="DD1191" s="118"/>
    </row>
    <row r="1192" spans="1:108" s="119" customFormat="1" outlineLevel="2">
      <c r="A1192" s="178">
        <v>40488</v>
      </c>
      <c r="B1192" s="164" t="s">
        <v>958</v>
      </c>
      <c r="C1192" s="164" t="s">
        <v>933</v>
      </c>
      <c r="D1192" s="165" t="s">
        <v>1182</v>
      </c>
      <c r="E1192" s="163"/>
      <c r="F1192" s="105"/>
      <c r="G1192" s="105"/>
      <c r="H1192" s="105">
        <v>10</v>
      </c>
      <c r="I1192" s="105">
        <v>2</v>
      </c>
      <c r="J1192" s="105"/>
      <c r="K1192" s="105">
        <v>2</v>
      </c>
      <c r="L1192" s="105"/>
      <c r="M1192" s="105"/>
      <c r="N1192" s="105"/>
      <c r="O1192" s="105"/>
      <c r="P1192" s="105"/>
      <c r="Q1192" s="105"/>
      <c r="R1192" s="105"/>
      <c r="S1192" s="105"/>
      <c r="T1192" s="106"/>
      <c r="U1192" s="130"/>
      <c r="V1192" s="1"/>
      <c r="W1192" s="68">
        <f t="shared" si="294"/>
        <v>0</v>
      </c>
      <c r="X1192" s="68">
        <f t="shared" si="295"/>
        <v>0</v>
      </c>
      <c r="Y1192" s="68">
        <f t="shared" si="296"/>
        <v>0</v>
      </c>
      <c r="Z1192" s="68">
        <f t="shared" si="297"/>
        <v>0</v>
      </c>
      <c r="AA1192" s="68"/>
      <c r="AB1192" s="68">
        <v>0</v>
      </c>
      <c r="AC1192" s="69">
        <f t="shared" si="298"/>
        <v>0</v>
      </c>
      <c r="AD1192" s="70">
        <v>0</v>
      </c>
      <c r="AE1192" s="63">
        <v>40490</v>
      </c>
      <c r="AF1192" s="72"/>
      <c r="AG1192" s="63" t="s">
        <v>938</v>
      </c>
      <c r="AH1192" s="23" t="s">
        <v>939</v>
      </c>
      <c r="AI1192" s="60"/>
      <c r="AJ1192" s="124" t="s">
        <v>1608</v>
      </c>
      <c r="AK1192" s="121" t="s">
        <v>1612</v>
      </c>
      <c r="AL1192" s="107"/>
      <c r="AM1192" s="108"/>
      <c r="AN1192" s="109"/>
      <c r="AO1192" s="108"/>
      <c r="AP1192" s="108"/>
      <c r="AQ1192" s="108"/>
      <c r="AR1192" s="108"/>
      <c r="AS1192" s="108"/>
      <c r="AT1192" s="108"/>
      <c r="AU1192" s="108"/>
      <c r="AV1192" s="108"/>
      <c r="AW1192" s="108"/>
      <c r="AX1192" s="108"/>
      <c r="AY1192" s="108"/>
      <c r="AZ1192" s="108"/>
      <c r="BA1192" s="108"/>
      <c r="BB1192" s="108"/>
      <c r="BC1192" s="108"/>
      <c r="BD1192" s="108"/>
      <c r="BE1192" s="108"/>
      <c r="BF1192" s="108"/>
      <c r="BG1192" s="108"/>
      <c r="BH1192" s="108"/>
      <c r="BI1192" s="108"/>
      <c r="BJ1192" s="108"/>
      <c r="BK1192" s="108"/>
      <c r="BL1192" s="108"/>
      <c r="BM1192" s="108"/>
      <c r="BN1192" s="108"/>
      <c r="BO1192" s="108"/>
      <c r="BP1192" s="108"/>
      <c r="BQ1192" s="108"/>
      <c r="BR1192" s="108"/>
      <c r="BS1192" s="108"/>
      <c r="BT1192" s="108"/>
      <c r="BU1192" s="108"/>
      <c r="BV1192" s="108"/>
      <c r="BW1192" s="108"/>
      <c r="BX1192" s="108"/>
      <c r="BY1192" s="108"/>
      <c r="BZ1192" s="108"/>
      <c r="CA1192" s="108"/>
      <c r="CB1192" s="108"/>
      <c r="CC1192" s="108"/>
      <c r="CD1192" s="108"/>
      <c r="CE1192" s="108"/>
      <c r="CF1192" s="108"/>
      <c r="CG1192" s="108"/>
      <c r="CH1192" s="108"/>
      <c r="CI1192" s="108"/>
      <c r="CJ1192" s="108"/>
      <c r="CK1192" s="108"/>
      <c r="CL1192" s="108"/>
      <c r="CM1192" s="108"/>
      <c r="CN1192" s="110"/>
      <c r="CO1192" s="111"/>
      <c r="CP1192" s="110"/>
      <c r="CQ1192" s="111"/>
      <c r="CR1192" s="110"/>
      <c r="CS1192" s="111"/>
      <c r="CT1192" s="112">
        <f t="shared" si="299"/>
        <v>0</v>
      </c>
      <c r="CU1192" s="113"/>
      <c r="CV1192" s="114"/>
      <c r="CW1192" s="115"/>
      <c r="CX1192" s="116"/>
      <c r="CY1192" s="117"/>
      <c r="CZ1192" s="116"/>
      <c r="DA1192" s="113"/>
      <c r="DB1192" s="114"/>
      <c r="DC1192" s="64"/>
      <c r="DD1192" s="118"/>
    </row>
    <row r="1193" spans="1:108" s="119" customFormat="1" ht="24" outlineLevel="2">
      <c r="A1193" s="178">
        <v>40498</v>
      </c>
      <c r="B1193" s="164" t="s">
        <v>958</v>
      </c>
      <c r="C1193" s="164" t="s">
        <v>959</v>
      </c>
      <c r="D1193" s="165" t="s">
        <v>1182</v>
      </c>
      <c r="E1193" s="163"/>
      <c r="F1193" s="105">
        <v>3</v>
      </c>
      <c r="G1193" s="105"/>
      <c r="H1193" s="105"/>
      <c r="I1193" s="105"/>
      <c r="J1193" s="105"/>
      <c r="K1193" s="105"/>
      <c r="L1193" s="105"/>
      <c r="M1193" s="105"/>
      <c r="N1193" s="105"/>
      <c r="O1193" s="105"/>
      <c r="P1193" s="105"/>
      <c r="Q1193" s="105"/>
      <c r="R1193" s="105"/>
      <c r="S1193" s="105">
        <v>1</v>
      </c>
      <c r="T1193" s="106"/>
      <c r="U1193" s="130"/>
      <c r="V1193" s="1"/>
      <c r="W1193" s="68">
        <f t="shared" si="294"/>
        <v>0</v>
      </c>
      <c r="X1193" s="68">
        <f t="shared" si="295"/>
        <v>0</v>
      </c>
      <c r="Y1193" s="68">
        <f t="shared" si="296"/>
        <v>0</v>
      </c>
      <c r="Z1193" s="68">
        <f t="shared" si="297"/>
        <v>0</v>
      </c>
      <c r="AA1193" s="68"/>
      <c r="AB1193" s="68">
        <v>0</v>
      </c>
      <c r="AC1193" s="69">
        <f t="shared" si="298"/>
        <v>0</v>
      </c>
      <c r="AD1193" s="70">
        <v>0</v>
      </c>
      <c r="AE1193" s="63">
        <v>40499</v>
      </c>
      <c r="AF1193" s="72"/>
      <c r="AG1193" s="63" t="s">
        <v>938</v>
      </c>
      <c r="AH1193" s="23" t="s">
        <v>939</v>
      </c>
      <c r="AI1193" s="60"/>
      <c r="AJ1193" s="124" t="s">
        <v>1608</v>
      </c>
      <c r="AK1193" s="121" t="s">
        <v>63</v>
      </c>
      <c r="AL1193" s="107"/>
      <c r="AM1193" s="108"/>
      <c r="AN1193" s="109"/>
      <c r="AO1193" s="108"/>
      <c r="AP1193" s="108"/>
      <c r="AQ1193" s="108"/>
      <c r="AR1193" s="108"/>
      <c r="AS1193" s="108"/>
      <c r="AT1193" s="108"/>
      <c r="AU1193" s="108"/>
      <c r="AV1193" s="108"/>
      <c r="AW1193" s="108"/>
      <c r="AX1193" s="108"/>
      <c r="AY1193" s="108"/>
      <c r="AZ1193" s="108"/>
      <c r="BA1193" s="108"/>
      <c r="BB1193" s="108"/>
      <c r="BC1193" s="108"/>
      <c r="BD1193" s="108"/>
      <c r="BE1193" s="108"/>
      <c r="BF1193" s="108"/>
      <c r="BG1193" s="108"/>
      <c r="BH1193" s="108"/>
      <c r="BI1193" s="108"/>
      <c r="BJ1193" s="108"/>
      <c r="BK1193" s="108"/>
      <c r="BL1193" s="108"/>
      <c r="BM1193" s="108"/>
      <c r="BN1193" s="108"/>
      <c r="BO1193" s="108"/>
      <c r="BP1193" s="108"/>
      <c r="BQ1193" s="108"/>
      <c r="BR1193" s="108"/>
      <c r="BS1193" s="108"/>
      <c r="BT1193" s="108"/>
      <c r="BU1193" s="108"/>
      <c r="BV1193" s="108"/>
      <c r="BW1193" s="108"/>
      <c r="BX1193" s="108"/>
      <c r="BY1193" s="108"/>
      <c r="BZ1193" s="108"/>
      <c r="CA1193" s="108"/>
      <c r="CB1193" s="108"/>
      <c r="CC1193" s="108"/>
      <c r="CD1193" s="108"/>
      <c r="CE1193" s="108"/>
      <c r="CF1193" s="108"/>
      <c r="CG1193" s="108"/>
      <c r="CH1193" s="108"/>
      <c r="CI1193" s="108"/>
      <c r="CJ1193" s="108"/>
      <c r="CK1193" s="108"/>
      <c r="CL1193" s="108"/>
      <c r="CM1193" s="108"/>
      <c r="CN1193" s="110"/>
      <c r="CO1193" s="111"/>
      <c r="CP1193" s="110"/>
      <c r="CQ1193" s="111"/>
      <c r="CR1193" s="110"/>
      <c r="CS1193" s="111"/>
      <c r="CT1193" s="112">
        <f t="shared" si="299"/>
        <v>0</v>
      </c>
      <c r="CU1193" s="113"/>
      <c r="CV1193" s="114"/>
      <c r="CW1193" s="115"/>
      <c r="CX1193" s="116"/>
      <c r="CY1193" s="117"/>
      <c r="CZ1193" s="116"/>
      <c r="DA1193" s="113"/>
      <c r="DB1193" s="114"/>
      <c r="DC1193" s="64"/>
      <c r="DD1193" s="118"/>
    </row>
    <row r="1194" spans="1:108" s="119" customFormat="1" ht="48" outlineLevel="2">
      <c r="A1194" s="178">
        <v>40502</v>
      </c>
      <c r="B1194" s="164" t="s">
        <v>958</v>
      </c>
      <c r="C1194" s="164" t="s">
        <v>959</v>
      </c>
      <c r="D1194" s="165" t="s">
        <v>1182</v>
      </c>
      <c r="E1194" s="163"/>
      <c r="F1194" s="105"/>
      <c r="G1194" s="105"/>
      <c r="H1194" s="105">
        <v>70</v>
      </c>
      <c r="I1194" s="105">
        <v>14</v>
      </c>
      <c r="J1194" s="105">
        <v>5</v>
      </c>
      <c r="K1194" s="105">
        <v>9</v>
      </c>
      <c r="L1194" s="105">
        <v>1</v>
      </c>
      <c r="M1194" s="105"/>
      <c r="N1194" s="105"/>
      <c r="O1194" s="105"/>
      <c r="P1194" s="105"/>
      <c r="Q1194" s="105"/>
      <c r="R1194" s="105"/>
      <c r="S1194" s="105"/>
      <c r="T1194" s="106"/>
      <c r="U1194" s="130"/>
      <c r="V1194" s="1"/>
      <c r="W1194" s="68">
        <f t="shared" si="294"/>
        <v>0</v>
      </c>
      <c r="X1194" s="68">
        <f t="shared" si="295"/>
        <v>0</v>
      </c>
      <c r="Y1194" s="68">
        <f t="shared" si="296"/>
        <v>0</v>
      </c>
      <c r="Z1194" s="68">
        <f t="shared" si="297"/>
        <v>0</v>
      </c>
      <c r="AA1194" s="68"/>
      <c r="AB1194" s="68">
        <v>0</v>
      </c>
      <c r="AC1194" s="69">
        <f t="shared" si="298"/>
        <v>0</v>
      </c>
      <c r="AD1194" s="70">
        <v>0</v>
      </c>
      <c r="AE1194" s="63">
        <v>40505</v>
      </c>
      <c r="AF1194" s="72"/>
      <c r="AG1194" s="63" t="s">
        <v>938</v>
      </c>
      <c r="AH1194" s="23" t="s">
        <v>939</v>
      </c>
      <c r="AI1194" s="60"/>
      <c r="AJ1194" s="124" t="s">
        <v>1608</v>
      </c>
      <c r="AK1194" s="121" t="s">
        <v>703</v>
      </c>
      <c r="AL1194" s="107"/>
      <c r="AM1194" s="108"/>
      <c r="AN1194" s="109"/>
      <c r="AO1194" s="108"/>
      <c r="AP1194" s="108"/>
      <c r="AQ1194" s="108"/>
      <c r="AR1194" s="108"/>
      <c r="AS1194" s="108"/>
      <c r="AT1194" s="108"/>
      <c r="AU1194" s="108"/>
      <c r="AV1194" s="108"/>
      <c r="AW1194" s="108"/>
      <c r="AX1194" s="108"/>
      <c r="AY1194" s="108"/>
      <c r="AZ1194" s="108"/>
      <c r="BA1194" s="108"/>
      <c r="BB1194" s="108"/>
      <c r="BC1194" s="108"/>
      <c r="BD1194" s="108"/>
      <c r="BE1194" s="108"/>
      <c r="BF1194" s="108"/>
      <c r="BG1194" s="108"/>
      <c r="BH1194" s="108"/>
      <c r="BI1194" s="108"/>
      <c r="BJ1194" s="108"/>
      <c r="BK1194" s="108"/>
      <c r="BL1194" s="108"/>
      <c r="BM1194" s="108"/>
      <c r="BN1194" s="108"/>
      <c r="BO1194" s="108"/>
      <c r="BP1194" s="108"/>
      <c r="BQ1194" s="108"/>
      <c r="BR1194" s="108"/>
      <c r="BS1194" s="108"/>
      <c r="BT1194" s="108"/>
      <c r="BU1194" s="108"/>
      <c r="BV1194" s="108"/>
      <c r="BW1194" s="108"/>
      <c r="BX1194" s="108"/>
      <c r="BY1194" s="108"/>
      <c r="BZ1194" s="108"/>
      <c r="CA1194" s="108"/>
      <c r="CB1194" s="108"/>
      <c r="CC1194" s="108"/>
      <c r="CD1194" s="108"/>
      <c r="CE1194" s="108"/>
      <c r="CF1194" s="108"/>
      <c r="CG1194" s="108"/>
      <c r="CH1194" s="108"/>
      <c r="CI1194" s="108"/>
      <c r="CJ1194" s="108"/>
      <c r="CK1194" s="108"/>
      <c r="CL1194" s="108"/>
      <c r="CM1194" s="108"/>
      <c r="CN1194" s="110"/>
      <c r="CO1194" s="111"/>
      <c r="CP1194" s="110"/>
      <c r="CQ1194" s="111"/>
      <c r="CR1194" s="110"/>
      <c r="CS1194" s="111"/>
      <c r="CT1194" s="112">
        <f t="shared" si="299"/>
        <v>0</v>
      </c>
      <c r="CU1194" s="113"/>
      <c r="CV1194" s="114"/>
      <c r="CW1194" s="115"/>
      <c r="CX1194" s="116"/>
      <c r="CY1194" s="117"/>
      <c r="CZ1194" s="116"/>
      <c r="DA1194" s="113"/>
      <c r="DB1194" s="114"/>
      <c r="DC1194" s="64"/>
      <c r="DD1194" s="118"/>
    </row>
    <row r="1195" spans="1:108" s="119" customFormat="1" ht="48" outlineLevel="2">
      <c r="A1195" s="178">
        <v>40503</v>
      </c>
      <c r="B1195" s="164" t="s">
        <v>958</v>
      </c>
      <c r="C1195" s="164" t="s">
        <v>1973</v>
      </c>
      <c r="D1195" s="166" t="s">
        <v>1262</v>
      </c>
      <c r="E1195" s="163"/>
      <c r="F1195" s="105"/>
      <c r="G1195" s="105"/>
      <c r="H1195" s="105"/>
      <c r="I1195" s="105"/>
      <c r="J1195" s="105"/>
      <c r="K1195" s="105"/>
      <c r="L1195" s="105">
        <v>1</v>
      </c>
      <c r="M1195" s="105">
        <v>1</v>
      </c>
      <c r="N1195" s="105"/>
      <c r="O1195" s="105"/>
      <c r="P1195" s="105"/>
      <c r="Q1195" s="105"/>
      <c r="R1195" s="105"/>
      <c r="S1195" s="105"/>
      <c r="T1195" s="106"/>
      <c r="U1195" s="130"/>
      <c r="V1195" s="1"/>
      <c r="W1195" s="68">
        <f t="shared" si="294"/>
        <v>0</v>
      </c>
      <c r="X1195" s="68">
        <f t="shared" si="295"/>
        <v>0</v>
      </c>
      <c r="Y1195" s="68">
        <f t="shared" si="296"/>
        <v>0</v>
      </c>
      <c r="Z1195" s="68">
        <f t="shared" si="297"/>
        <v>0</v>
      </c>
      <c r="AA1195" s="68"/>
      <c r="AB1195" s="68">
        <v>0</v>
      </c>
      <c r="AC1195" s="69">
        <f t="shared" si="298"/>
        <v>0</v>
      </c>
      <c r="AD1195" s="70">
        <v>0</v>
      </c>
      <c r="AE1195" s="63">
        <v>40505</v>
      </c>
      <c r="AF1195" s="72"/>
      <c r="AG1195" s="63" t="s">
        <v>938</v>
      </c>
      <c r="AH1195" s="23" t="s">
        <v>939</v>
      </c>
      <c r="AI1195" s="60"/>
      <c r="AJ1195" s="124" t="s">
        <v>1608</v>
      </c>
      <c r="AK1195" s="121" t="s">
        <v>722</v>
      </c>
      <c r="AL1195" s="107"/>
      <c r="AM1195" s="108"/>
      <c r="AN1195" s="109"/>
      <c r="AO1195" s="108"/>
      <c r="AP1195" s="108"/>
      <c r="AQ1195" s="108"/>
      <c r="AR1195" s="108"/>
      <c r="AS1195" s="108"/>
      <c r="AT1195" s="108"/>
      <c r="AU1195" s="108"/>
      <c r="AV1195" s="108"/>
      <c r="AW1195" s="108"/>
      <c r="AX1195" s="108"/>
      <c r="AY1195" s="108"/>
      <c r="AZ1195" s="108"/>
      <c r="BA1195" s="108"/>
      <c r="BB1195" s="108"/>
      <c r="BC1195" s="108"/>
      <c r="BD1195" s="108"/>
      <c r="BE1195" s="108"/>
      <c r="BF1195" s="108"/>
      <c r="BG1195" s="108"/>
      <c r="BH1195" s="108"/>
      <c r="BI1195" s="108"/>
      <c r="BJ1195" s="108"/>
      <c r="BK1195" s="108"/>
      <c r="BL1195" s="108"/>
      <c r="BM1195" s="108"/>
      <c r="BN1195" s="108"/>
      <c r="BO1195" s="108"/>
      <c r="BP1195" s="108"/>
      <c r="BQ1195" s="108"/>
      <c r="BR1195" s="108"/>
      <c r="BS1195" s="108"/>
      <c r="BT1195" s="108"/>
      <c r="BU1195" s="108"/>
      <c r="BV1195" s="108"/>
      <c r="BW1195" s="108"/>
      <c r="BX1195" s="108"/>
      <c r="BY1195" s="108"/>
      <c r="BZ1195" s="108"/>
      <c r="CA1195" s="108"/>
      <c r="CB1195" s="108"/>
      <c r="CC1195" s="108"/>
      <c r="CD1195" s="108"/>
      <c r="CE1195" s="108"/>
      <c r="CF1195" s="108"/>
      <c r="CG1195" s="108"/>
      <c r="CH1195" s="108"/>
      <c r="CI1195" s="108"/>
      <c r="CJ1195" s="108"/>
      <c r="CK1195" s="108"/>
      <c r="CL1195" s="108"/>
      <c r="CM1195" s="108"/>
      <c r="CN1195" s="110"/>
      <c r="CO1195" s="111"/>
      <c r="CP1195" s="110"/>
      <c r="CQ1195" s="111"/>
      <c r="CR1195" s="110"/>
      <c r="CS1195" s="111"/>
      <c r="CT1195" s="112">
        <f t="shared" si="299"/>
        <v>0</v>
      </c>
      <c r="CU1195" s="113"/>
      <c r="CV1195" s="114"/>
      <c r="CW1195" s="115"/>
      <c r="CX1195" s="116"/>
      <c r="CY1195" s="117"/>
      <c r="CZ1195" s="116"/>
      <c r="DA1195" s="113"/>
      <c r="DB1195" s="114"/>
      <c r="DC1195" s="64"/>
      <c r="DD1195" s="118"/>
    </row>
    <row r="1196" spans="1:108" s="119" customFormat="1" ht="36" outlineLevel="2">
      <c r="A1196" s="178">
        <v>40503</v>
      </c>
      <c r="B1196" s="164" t="s">
        <v>958</v>
      </c>
      <c r="C1196" s="164" t="s">
        <v>943</v>
      </c>
      <c r="D1196" s="165" t="s">
        <v>1182</v>
      </c>
      <c r="E1196" s="163"/>
      <c r="F1196" s="105"/>
      <c r="G1196" s="105"/>
      <c r="H1196" s="105"/>
      <c r="I1196" s="105"/>
      <c r="J1196" s="105"/>
      <c r="K1196" s="105"/>
      <c r="L1196" s="105"/>
      <c r="M1196" s="105"/>
      <c r="N1196" s="105"/>
      <c r="O1196" s="105">
        <v>1</v>
      </c>
      <c r="P1196" s="105"/>
      <c r="Q1196" s="105"/>
      <c r="R1196" s="105"/>
      <c r="S1196" s="105"/>
      <c r="T1196" s="106"/>
      <c r="U1196" s="130"/>
      <c r="V1196" s="1"/>
      <c r="W1196" s="68">
        <f t="shared" si="294"/>
        <v>0</v>
      </c>
      <c r="X1196" s="68">
        <f t="shared" si="295"/>
        <v>0</v>
      </c>
      <c r="Y1196" s="68">
        <f t="shared" si="296"/>
        <v>0</v>
      </c>
      <c r="Z1196" s="68">
        <f t="shared" si="297"/>
        <v>0</v>
      </c>
      <c r="AA1196" s="68"/>
      <c r="AB1196" s="68">
        <v>0</v>
      </c>
      <c r="AC1196" s="69">
        <f t="shared" si="298"/>
        <v>0</v>
      </c>
      <c r="AD1196" s="70">
        <v>0</v>
      </c>
      <c r="AE1196" s="63">
        <v>40505</v>
      </c>
      <c r="AF1196" s="72"/>
      <c r="AG1196" s="63" t="s">
        <v>938</v>
      </c>
      <c r="AH1196" s="23" t="s">
        <v>939</v>
      </c>
      <c r="AI1196" s="60"/>
      <c r="AJ1196" s="124" t="s">
        <v>1608</v>
      </c>
      <c r="AK1196" s="121" t="s">
        <v>702</v>
      </c>
      <c r="AL1196" s="107"/>
      <c r="AM1196" s="108"/>
      <c r="AN1196" s="109"/>
      <c r="AO1196" s="108"/>
      <c r="AP1196" s="108"/>
      <c r="AQ1196" s="108"/>
      <c r="AR1196" s="108"/>
      <c r="AS1196" s="108"/>
      <c r="AT1196" s="108"/>
      <c r="AU1196" s="108"/>
      <c r="AV1196" s="108"/>
      <c r="AW1196" s="108"/>
      <c r="AX1196" s="108"/>
      <c r="AY1196" s="108"/>
      <c r="AZ1196" s="108"/>
      <c r="BA1196" s="108"/>
      <c r="BB1196" s="108"/>
      <c r="BC1196" s="108"/>
      <c r="BD1196" s="108"/>
      <c r="BE1196" s="108"/>
      <c r="BF1196" s="108"/>
      <c r="BG1196" s="108"/>
      <c r="BH1196" s="108"/>
      <c r="BI1196" s="108"/>
      <c r="BJ1196" s="108"/>
      <c r="BK1196" s="108"/>
      <c r="BL1196" s="108"/>
      <c r="BM1196" s="108"/>
      <c r="BN1196" s="108"/>
      <c r="BO1196" s="108"/>
      <c r="BP1196" s="108"/>
      <c r="BQ1196" s="108"/>
      <c r="BR1196" s="108"/>
      <c r="BS1196" s="108"/>
      <c r="BT1196" s="108"/>
      <c r="BU1196" s="108"/>
      <c r="BV1196" s="108"/>
      <c r="BW1196" s="108"/>
      <c r="BX1196" s="108"/>
      <c r="BY1196" s="108"/>
      <c r="BZ1196" s="108"/>
      <c r="CA1196" s="108"/>
      <c r="CB1196" s="108"/>
      <c r="CC1196" s="108"/>
      <c r="CD1196" s="108"/>
      <c r="CE1196" s="108"/>
      <c r="CF1196" s="108"/>
      <c r="CG1196" s="108"/>
      <c r="CH1196" s="108"/>
      <c r="CI1196" s="108"/>
      <c r="CJ1196" s="108"/>
      <c r="CK1196" s="108"/>
      <c r="CL1196" s="108"/>
      <c r="CM1196" s="108"/>
      <c r="CN1196" s="110"/>
      <c r="CO1196" s="111"/>
      <c r="CP1196" s="110"/>
      <c r="CQ1196" s="111"/>
      <c r="CR1196" s="110"/>
      <c r="CS1196" s="111"/>
      <c r="CT1196" s="112">
        <f t="shared" si="299"/>
        <v>0</v>
      </c>
      <c r="CU1196" s="113"/>
      <c r="CV1196" s="114"/>
      <c r="CW1196" s="115"/>
      <c r="CX1196" s="116"/>
      <c r="CY1196" s="117"/>
      <c r="CZ1196" s="116"/>
      <c r="DA1196" s="113"/>
      <c r="DB1196" s="114"/>
      <c r="DC1196" s="64"/>
      <c r="DD1196" s="118"/>
    </row>
    <row r="1197" spans="1:108" s="119" customFormat="1" ht="48" outlineLevel="2">
      <c r="A1197" s="178">
        <v>40503</v>
      </c>
      <c r="B1197" s="164" t="s">
        <v>958</v>
      </c>
      <c r="C1197" s="164" t="s">
        <v>238</v>
      </c>
      <c r="D1197" s="166" t="s">
        <v>1262</v>
      </c>
      <c r="E1197" s="163"/>
      <c r="F1197" s="105"/>
      <c r="G1197" s="105"/>
      <c r="H1197" s="105"/>
      <c r="I1197" s="105"/>
      <c r="J1197" s="105"/>
      <c r="K1197" s="105"/>
      <c r="L1197" s="105">
        <v>3</v>
      </c>
      <c r="M1197" s="105"/>
      <c r="N1197" s="105"/>
      <c r="O1197" s="105"/>
      <c r="P1197" s="105"/>
      <c r="Q1197" s="105"/>
      <c r="R1197" s="105"/>
      <c r="S1197" s="105"/>
      <c r="T1197" s="106"/>
      <c r="U1197" s="130"/>
      <c r="V1197" s="1"/>
      <c r="W1197" s="68">
        <f t="shared" si="294"/>
        <v>0</v>
      </c>
      <c r="X1197" s="68">
        <f t="shared" si="295"/>
        <v>0</v>
      </c>
      <c r="Y1197" s="68">
        <f t="shared" si="296"/>
        <v>0</v>
      </c>
      <c r="Z1197" s="68">
        <f t="shared" si="297"/>
        <v>0</v>
      </c>
      <c r="AA1197" s="68"/>
      <c r="AB1197" s="68">
        <v>0</v>
      </c>
      <c r="AC1197" s="69">
        <f t="shared" si="298"/>
        <v>0</v>
      </c>
      <c r="AD1197" s="70">
        <v>0</v>
      </c>
      <c r="AE1197" s="63">
        <v>40505</v>
      </c>
      <c r="AF1197" s="72"/>
      <c r="AG1197" s="63" t="s">
        <v>938</v>
      </c>
      <c r="AH1197" s="23" t="s">
        <v>939</v>
      </c>
      <c r="AI1197" s="60"/>
      <c r="AJ1197" s="124" t="s">
        <v>1608</v>
      </c>
      <c r="AK1197" s="121" t="s">
        <v>701</v>
      </c>
      <c r="AL1197" s="107"/>
      <c r="AM1197" s="108"/>
      <c r="AN1197" s="109"/>
      <c r="AO1197" s="108"/>
      <c r="AP1197" s="108"/>
      <c r="AQ1197" s="108"/>
      <c r="AR1197" s="108"/>
      <c r="AS1197" s="108"/>
      <c r="AT1197" s="108"/>
      <c r="AU1197" s="108"/>
      <c r="AV1197" s="108"/>
      <c r="AW1197" s="108"/>
      <c r="AX1197" s="108"/>
      <c r="AY1197" s="108"/>
      <c r="AZ1197" s="108"/>
      <c r="BA1197" s="108"/>
      <c r="BB1197" s="108"/>
      <c r="BC1197" s="108"/>
      <c r="BD1197" s="108"/>
      <c r="BE1197" s="108"/>
      <c r="BF1197" s="108"/>
      <c r="BG1197" s="108"/>
      <c r="BH1197" s="108"/>
      <c r="BI1197" s="108"/>
      <c r="BJ1197" s="108"/>
      <c r="BK1197" s="108"/>
      <c r="BL1197" s="108"/>
      <c r="BM1197" s="108"/>
      <c r="BN1197" s="108"/>
      <c r="BO1197" s="108"/>
      <c r="BP1197" s="108"/>
      <c r="BQ1197" s="108"/>
      <c r="BR1197" s="108"/>
      <c r="BS1197" s="108"/>
      <c r="BT1197" s="108"/>
      <c r="BU1197" s="108"/>
      <c r="BV1197" s="108"/>
      <c r="BW1197" s="108"/>
      <c r="BX1197" s="108"/>
      <c r="BY1197" s="108"/>
      <c r="BZ1197" s="108"/>
      <c r="CA1197" s="108"/>
      <c r="CB1197" s="108"/>
      <c r="CC1197" s="108"/>
      <c r="CD1197" s="108"/>
      <c r="CE1197" s="108"/>
      <c r="CF1197" s="108"/>
      <c r="CG1197" s="108"/>
      <c r="CH1197" s="108"/>
      <c r="CI1197" s="108"/>
      <c r="CJ1197" s="108"/>
      <c r="CK1197" s="108"/>
      <c r="CL1197" s="108"/>
      <c r="CM1197" s="108"/>
      <c r="CN1197" s="110"/>
      <c r="CO1197" s="111"/>
      <c r="CP1197" s="110"/>
      <c r="CQ1197" s="111"/>
      <c r="CR1197" s="110"/>
      <c r="CS1197" s="111"/>
      <c r="CT1197" s="112">
        <f t="shared" si="299"/>
        <v>0</v>
      </c>
      <c r="CU1197" s="113"/>
      <c r="CV1197" s="114"/>
      <c r="CW1197" s="115"/>
      <c r="CX1197" s="116"/>
      <c r="CY1197" s="117"/>
      <c r="CZ1197" s="116"/>
      <c r="DA1197" s="113"/>
      <c r="DB1197" s="114"/>
      <c r="DC1197" s="64"/>
      <c r="DD1197" s="118"/>
    </row>
    <row r="1198" spans="1:108" s="119" customFormat="1" outlineLevel="2">
      <c r="A1198" s="178">
        <v>40506</v>
      </c>
      <c r="B1198" s="164" t="s">
        <v>958</v>
      </c>
      <c r="C1198" s="164" t="s">
        <v>933</v>
      </c>
      <c r="D1198" s="165" t="s">
        <v>1182</v>
      </c>
      <c r="E1198" s="163"/>
      <c r="F1198" s="105"/>
      <c r="G1198" s="105"/>
      <c r="H1198" s="105">
        <v>35</v>
      </c>
      <c r="I1198" s="105">
        <v>12</v>
      </c>
      <c r="J1198" s="105"/>
      <c r="K1198" s="105">
        <v>9</v>
      </c>
      <c r="L1198" s="105"/>
      <c r="M1198" s="105"/>
      <c r="N1198" s="105"/>
      <c r="O1198" s="105"/>
      <c r="P1198" s="105"/>
      <c r="Q1198" s="105"/>
      <c r="R1198" s="105"/>
      <c r="S1198" s="105"/>
      <c r="T1198" s="106"/>
      <c r="U1198" s="130"/>
      <c r="V1198" s="1"/>
      <c r="W1198" s="68">
        <f t="shared" si="294"/>
        <v>0</v>
      </c>
      <c r="X1198" s="68">
        <f t="shared" si="295"/>
        <v>0</v>
      </c>
      <c r="Y1198" s="68">
        <f t="shared" si="296"/>
        <v>0</v>
      </c>
      <c r="Z1198" s="68">
        <f t="shared" si="297"/>
        <v>0</v>
      </c>
      <c r="AA1198" s="68"/>
      <c r="AB1198" s="68">
        <v>0</v>
      </c>
      <c r="AC1198" s="69">
        <f t="shared" si="298"/>
        <v>0</v>
      </c>
      <c r="AD1198" s="70">
        <v>0</v>
      </c>
      <c r="AE1198" s="63">
        <v>40506</v>
      </c>
      <c r="AF1198" s="72"/>
      <c r="AG1198" s="63" t="s">
        <v>938</v>
      </c>
      <c r="AH1198" s="23" t="s">
        <v>939</v>
      </c>
      <c r="AI1198" s="60"/>
      <c r="AJ1198" s="124" t="s">
        <v>1608</v>
      </c>
      <c r="AK1198" s="121" t="s">
        <v>302</v>
      </c>
      <c r="AL1198" s="107"/>
      <c r="AM1198" s="108"/>
      <c r="AN1198" s="109"/>
      <c r="AO1198" s="108"/>
      <c r="AP1198" s="108"/>
      <c r="AQ1198" s="108"/>
      <c r="AR1198" s="108"/>
      <c r="AS1198" s="108"/>
      <c r="AT1198" s="108"/>
      <c r="AU1198" s="108"/>
      <c r="AV1198" s="108"/>
      <c r="AW1198" s="108"/>
      <c r="AX1198" s="108"/>
      <c r="AY1198" s="108"/>
      <c r="AZ1198" s="108"/>
      <c r="BA1198" s="108"/>
      <c r="BB1198" s="108"/>
      <c r="BC1198" s="108"/>
      <c r="BD1198" s="108"/>
      <c r="BE1198" s="108"/>
      <c r="BF1198" s="108"/>
      <c r="BG1198" s="108"/>
      <c r="BH1198" s="108"/>
      <c r="BI1198" s="108"/>
      <c r="BJ1198" s="108"/>
      <c r="BK1198" s="108"/>
      <c r="BL1198" s="108"/>
      <c r="BM1198" s="108"/>
      <c r="BN1198" s="108"/>
      <c r="BO1198" s="108"/>
      <c r="BP1198" s="108"/>
      <c r="BQ1198" s="108"/>
      <c r="BR1198" s="108"/>
      <c r="BS1198" s="108"/>
      <c r="BT1198" s="108"/>
      <c r="BU1198" s="108"/>
      <c r="BV1198" s="108"/>
      <c r="BW1198" s="108"/>
      <c r="BX1198" s="108"/>
      <c r="BY1198" s="108"/>
      <c r="BZ1198" s="108"/>
      <c r="CA1198" s="108"/>
      <c r="CB1198" s="108"/>
      <c r="CC1198" s="108"/>
      <c r="CD1198" s="108"/>
      <c r="CE1198" s="108"/>
      <c r="CF1198" s="108"/>
      <c r="CG1198" s="108"/>
      <c r="CH1198" s="108"/>
      <c r="CI1198" s="108"/>
      <c r="CJ1198" s="108"/>
      <c r="CK1198" s="108"/>
      <c r="CL1198" s="108"/>
      <c r="CM1198" s="108"/>
      <c r="CN1198" s="110"/>
      <c r="CO1198" s="111"/>
      <c r="CP1198" s="110"/>
      <c r="CQ1198" s="111"/>
      <c r="CR1198" s="110"/>
      <c r="CS1198" s="111"/>
      <c r="CT1198" s="112">
        <f t="shared" si="299"/>
        <v>0</v>
      </c>
      <c r="CU1198" s="113"/>
      <c r="CV1198" s="114"/>
      <c r="CW1198" s="115"/>
      <c r="CX1198" s="116"/>
      <c r="CY1198" s="117"/>
      <c r="CZ1198" s="116"/>
      <c r="DA1198" s="113"/>
      <c r="DB1198" s="114"/>
      <c r="DC1198" s="64"/>
      <c r="DD1198" s="118"/>
    </row>
    <row r="1199" spans="1:108" s="119" customFormat="1" ht="24" outlineLevel="2">
      <c r="A1199" s="178">
        <v>40513</v>
      </c>
      <c r="B1199" s="164" t="s">
        <v>958</v>
      </c>
      <c r="C1199" s="164" t="s">
        <v>1831</v>
      </c>
      <c r="D1199" s="166" t="s">
        <v>1182</v>
      </c>
      <c r="E1199" s="163"/>
      <c r="F1199" s="105"/>
      <c r="G1199" s="105"/>
      <c r="H1199" s="105">
        <v>5</v>
      </c>
      <c r="I1199" s="105">
        <v>1</v>
      </c>
      <c r="J1199" s="105">
        <v>1</v>
      </c>
      <c r="K1199" s="105"/>
      <c r="L1199" s="105"/>
      <c r="M1199" s="105"/>
      <c r="N1199" s="105"/>
      <c r="O1199" s="105"/>
      <c r="P1199" s="105"/>
      <c r="Q1199" s="105"/>
      <c r="R1199" s="105"/>
      <c r="S1199" s="105"/>
      <c r="T1199" s="106"/>
      <c r="U1199" s="130"/>
      <c r="V1199" s="1"/>
      <c r="W1199" s="68">
        <f t="shared" si="294"/>
        <v>0</v>
      </c>
      <c r="X1199" s="68">
        <f t="shared" si="295"/>
        <v>0</v>
      </c>
      <c r="Y1199" s="68">
        <f t="shared" si="296"/>
        <v>0</v>
      </c>
      <c r="Z1199" s="68">
        <f t="shared" si="297"/>
        <v>0</v>
      </c>
      <c r="AA1199" s="68"/>
      <c r="AB1199" s="68">
        <v>0</v>
      </c>
      <c r="AC1199" s="69">
        <f t="shared" si="298"/>
        <v>0</v>
      </c>
      <c r="AD1199" s="70">
        <v>0</v>
      </c>
      <c r="AE1199" s="63"/>
      <c r="AF1199" s="72"/>
      <c r="AG1199" s="63"/>
      <c r="AH1199" s="23"/>
      <c r="AI1199" s="60"/>
      <c r="AJ1199" s="124"/>
      <c r="AK1199" s="121" t="s">
        <v>2125</v>
      </c>
      <c r="AL1199" s="107"/>
      <c r="AM1199" s="108"/>
      <c r="AN1199" s="109"/>
      <c r="AO1199" s="108"/>
      <c r="AP1199" s="108"/>
      <c r="AQ1199" s="108"/>
      <c r="AR1199" s="108"/>
      <c r="AS1199" s="108"/>
      <c r="AT1199" s="108"/>
      <c r="AU1199" s="108"/>
      <c r="AV1199" s="108"/>
      <c r="AW1199" s="108"/>
      <c r="AX1199" s="108"/>
      <c r="AY1199" s="108"/>
      <c r="AZ1199" s="108"/>
      <c r="BA1199" s="108"/>
      <c r="BB1199" s="108"/>
      <c r="BC1199" s="108"/>
      <c r="BD1199" s="108"/>
      <c r="BE1199" s="108"/>
      <c r="BF1199" s="108"/>
      <c r="BG1199" s="108"/>
      <c r="BH1199" s="108"/>
      <c r="BI1199" s="108"/>
      <c r="BJ1199" s="108"/>
      <c r="BK1199" s="108"/>
      <c r="BL1199" s="108"/>
      <c r="BM1199" s="108"/>
      <c r="BN1199" s="108"/>
      <c r="BO1199" s="108"/>
      <c r="BP1199" s="108"/>
      <c r="BQ1199" s="108"/>
      <c r="BR1199" s="108"/>
      <c r="BS1199" s="108"/>
      <c r="BT1199" s="108"/>
      <c r="BU1199" s="108"/>
      <c r="BV1199" s="108"/>
      <c r="BW1199" s="108"/>
      <c r="BX1199" s="108"/>
      <c r="BY1199" s="108"/>
      <c r="BZ1199" s="108"/>
      <c r="CA1199" s="108"/>
      <c r="CB1199" s="108"/>
      <c r="CC1199" s="108"/>
      <c r="CD1199" s="108"/>
      <c r="CE1199" s="108"/>
      <c r="CF1199" s="108"/>
      <c r="CG1199" s="108"/>
      <c r="CH1199" s="108"/>
      <c r="CI1199" s="108"/>
      <c r="CJ1199" s="108"/>
      <c r="CK1199" s="108"/>
      <c r="CL1199" s="108"/>
      <c r="CM1199" s="108"/>
      <c r="CN1199" s="110"/>
      <c r="CO1199" s="111"/>
      <c r="CP1199" s="110"/>
      <c r="CQ1199" s="111"/>
      <c r="CR1199" s="110"/>
      <c r="CS1199" s="111"/>
      <c r="CT1199" s="112">
        <f t="shared" si="299"/>
        <v>0</v>
      </c>
      <c r="CU1199" s="113"/>
      <c r="CV1199" s="114"/>
      <c r="CW1199" s="115"/>
      <c r="CX1199" s="116"/>
      <c r="CY1199" s="117"/>
      <c r="CZ1199" s="116"/>
      <c r="DA1199" s="113"/>
      <c r="DB1199" s="114"/>
      <c r="DC1199" s="64"/>
      <c r="DD1199" s="118"/>
    </row>
    <row r="1200" spans="1:108" s="119" customFormat="1" ht="24" outlineLevel="2">
      <c r="A1200" s="178">
        <v>40514</v>
      </c>
      <c r="B1200" s="164" t="s">
        <v>958</v>
      </c>
      <c r="C1200" s="164" t="s">
        <v>959</v>
      </c>
      <c r="D1200" s="166" t="s">
        <v>1182</v>
      </c>
      <c r="E1200" s="163"/>
      <c r="F1200" s="105"/>
      <c r="G1200" s="105"/>
      <c r="H1200" s="105"/>
      <c r="I1200" s="105"/>
      <c r="J1200" s="105"/>
      <c r="K1200" s="105"/>
      <c r="L1200" s="105">
        <v>1</v>
      </c>
      <c r="M1200" s="105"/>
      <c r="N1200" s="105"/>
      <c r="O1200" s="105"/>
      <c r="P1200" s="105"/>
      <c r="Q1200" s="105"/>
      <c r="R1200" s="105"/>
      <c r="S1200" s="105"/>
      <c r="T1200" s="106"/>
      <c r="U1200" s="130"/>
      <c r="V1200" s="1"/>
      <c r="W1200" s="68">
        <f t="shared" si="294"/>
        <v>0</v>
      </c>
      <c r="X1200" s="68">
        <f t="shared" si="295"/>
        <v>0</v>
      </c>
      <c r="Y1200" s="68">
        <f t="shared" si="296"/>
        <v>0</v>
      </c>
      <c r="Z1200" s="68">
        <f t="shared" si="297"/>
        <v>0</v>
      </c>
      <c r="AA1200" s="68"/>
      <c r="AB1200" s="68">
        <v>0</v>
      </c>
      <c r="AC1200" s="69">
        <f t="shared" si="298"/>
        <v>0</v>
      </c>
      <c r="AD1200" s="70">
        <v>0</v>
      </c>
      <c r="AE1200" s="63"/>
      <c r="AF1200" s="72"/>
      <c r="AG1200" s="63"/>
      <c r="AH1200" s="23"/>
      <c r="AI1200" s="60"/>
      <c r="AJ1200" s="124"/>
      <c r="AK1200" s="121" t="s">
        <v>2150</v>
      </c>
      <c r="AL1200" s="107"/>
      <c r="AM1200" s="108"/>
      <c r="AN1200" s="109"/>
      <c r="AO1200" s="108"/>
      <c r="AP1200" s="108"/>
      <c r="AQ1200" s="108"/>
      <c r="AR1200" s="108"/>
      <c r="AS1200" s="108"/>
      <c r="AT1200" s="108"/>
      <c r="AU1200" s="108"/>
      <c r="AV1200" s="108"/>
      <c r="AW1200" s="108"/>
      <c r="AX1200" s="108"/>
      <c r="AY1200" s="108"/>
      <c r="AZ1200" s="108"/>
      <c r="BA1200" s="108"/>
      <c r="BB1200" s="108"/>
      <c r="BC1200" s="108"/>
      <c r="BD1200" s="108"/>
      <c r="BE1200" s="108"/>
      <c r="BF1200" s="108"/>
      <c r="BG1200" s="108"/>
      <c r="BH1200" s="108"/>
      <c r="BI1200" s="108"/>
      <c r="BJ1200" s="108"/>
      <c r="BK1200" s="108"/>
      <c r="BL1200" s="108"/>
      <c r="BM1200" s="108"/>
      <c r="BN1200" s="108"/>
      <c r="BO1200" s="108"/>
      <c r="BP1200" s="108"/>
      <c r="BQ1200" s="108"/>
      <c r="BR1200" s="108"/>
      <c r="BS1200" s="108"/>
      <c r="BT1200" s="108"/>
      <c r="BU1200" s="108"/>
      <c r="BV1200" s="108"/>
      <c r="BW1200" s="108"/>
      <c r="BX1200" s="108"/>
      <c r="BY1200" s="108"/>
      <c r="BZ1200" s="108"/>
      <c r="CA1200" s="108"/>
      <c r="CB1200" s="108"/>
      <c r="CC1200" s="108"/>
      <c r="CD1200" s="108"/>
      <c r="CE1200" s="108"/>
      <c r="CF1200" s="108"/>
      <c r="CG1200" s="108"/>
      <c r="CH1200" s="108"/>
      <c r="CI1200" s="108"/>
      <c r="CJ1200" s="108"/>
      <c r="CK1200" s="108"/>
      <c r="CL1200" s="108"/>
      <c r="CM1200" s="108"/>
      <c r="CN1200" s="110"/>
      <c r="CO1200" s="111"/>
      <c r="CP1200" s="110"/>
      <c r="CQ1200" s="111"/>
      <c r="CR1200" s="110"/>
      <c r="CS1200" s="111"/>
      <c r="CT1200" s="112">
        <f t="shared" si="299"/>
        <v>0</v>
      </c>
      <c r="CU1200" s="113"/>
      <c r="CV1200" s="114"/>
      <c r="CW1200" s="115"/>
      <c r="CX1200" s="116"/>
      <c r="CY1200" s="117"/>
      <c r="CZ1200" s="116"/>
      <c r="DA1200" s="113"/>
      <c r="DB1200" s="114"/>
      <c r="DC1200" s="64"/>
      <c r="DD1200" s="118"/>
    </row>
    <row r="1201" spans="1:108" s="119" customFormat="1" ht="24" outlineLevel="2">
      <c r="A1201" s="178">
        <v>40519</v>
      </c>
      <c r="B1201" s="164" t="s">
        <v>958</v>
      </c>
      <c r="C1201" s="164" t="s">
        <v>169</v>
      </c>
      <c r="D1201" s="166" t="s">
        <v>1262</v>
      </c>
      <c r="E1201" s="163"/>
      <c r="F1201" s="105"/>
      <c r="G1201" s="105"/>
      <c r="H1201" s="105">
        <v>12</v>
      </c>
      <c r="I1201" s="105">
        <v>2</v>
      </c>
      <c r="J1201" s="105"/>
      <c r="K1201" s="105">
        <v>2</v>
      </c>
      <c r="L1201" s="105"/>
      <c r="M1201" s="105"/>
      <c r="N1201" s="105"/>
      <c r="O1201" s="105"/>
      <c r="P1201" s="105"/>
      <c r="Q1201" s="105"/>
      <c r="R1201" s="105"/>
      <c r="S1201" s="105"/>
      <c r="T1201" s="106"/>
      <c r="U1201" s="130"/>
      <c r="V1201" s="1"/>
      <c r="W1201" s="68">
        <f t="shared" si="294"/>
        <v>0</v>
      </c>
      <c r="X1201" s="68">
        <f t="shared" si="295"/>
        <v>0</v>
      </c>
      <c r="Y1201" s="68">
        <f t="shared" si="296"/>
        <v>0</v>
      </c>
      <c r="Z1201" s="68">
        <f t="shared" si="297"/>
        <v>0</v>
      </c>
      <c r="AA1201" s="68"/>
      <c r="AB1201" s="68">
        <v>0</v>
      </c>
      <c r="AC1201" s="69">
        <f t="shared" si="298"/>
        <v>0</v>
      </c>
      <c r="AD1201" s="70">
        <v>0</v>
      </c>
      <c r="AE1201" s="63"/>
      <c r="AF1201" s="72"/>
      <c r="AG1201" s="63"/>
      <c r="AH1201" s="23"/>
      <c r="AI1201" s="60"/>
      <c r="AJ1201" s="124"/>
      <c r="AK1201" s="121" t="s">
        <v>170</v>
      </c>
      <c r="AL1201" s="107"/>
      <c r="AM1201" s="108"/>
      <c r="AN1201" s="109"/>
      <c r="AO1201" s="108"/>
      <c r="AP1201" s="108"/>
      <c r="AQ1201" s="108"/>
      <c r="AR1201" s="108"/>
      <c r="AS1201" s="108"/>
      <c r="AT1201" s="108"/>
      <c r="AU1201" s="108"/>
      <c r="AV1201" s="108"/>
      <c r="AW1201" s="108"/>
      <c r="AX1201" s="108"/>
      <c r="AY1201" s="108"/>
      <c r="AZ1201" s="108"/>
      <c r="BA1201" s="108"/>
      <c r="BB1201" s="108"/>
      <c r="BC1201" s="108"/>
      <c r="BD1201" s="108"/>
      <c r="BE1201" s="108"/>
      <c r="BF1201" s="108"/>
      <c r="BG1201" s="108"/>
      <c r="BH1201" s="108"/>
      <c r="BI1201" s="108"/>
      <c r="BJ1201" s="108"/>
      <c r="BK1201" s="108"/>
      <c r="BL1201" s="108"/>
      <c r="BM1201" s="108"/>
      <c r="BN1201" s="108"/>
      <c r="BO1201" s="108"/>
      <c r="BP1201" s="108"/>
      <c r="BQ1201" s="108"/>
      <c r="BR1201" s="108"/>
      <c r="BS1201" s="108"/>
      <c r="BT1201" s="108"/>
      <c r="BU1201" s="108"/>
      <c r="BV1201" s="108"/>
      <c r="BW1201" s="108"/>
      <c r="BX1201" s="108"/>
      <c r="BY1201" s="108"/>
      <c r="BZ1201" s="108"/>
      <c r="CA1201" s="108"/>
      <c r="CB1201" s="108"/>
      <c r="CC1201" s="108"/>
      <c r="CD1201" s="108"/>
      <c r="CE1201" s="108"/>
      <c r="CF1201" s="108"/>
      <c r="CG1201" s="108"/>
      <c r="CH1201" s="108"/>
      <c r="CI1201" s="108"/>
      <c r="CJ1201" s="108"/>
      <c r="CK1201" s="108"/>
      <c r="CL1201" s="108"/>
      <c r="CM1201" s="108"/>
      <c r="CN1201" s="110"/>
      <c r="CO1201" s="111"/>
      <c r="CP1201" s="110"/>
      <c r="CQ1201" s="111"/>
      <c r="CR1201" s="110"/>
      <c r="CS1201" s="111"/>
      <c r="CT1201" s="112">
        <f t="shared" si="299"/>
        <v>0</v>
      </c>
      <c r="CU1201" s="113"/>
      <c r="CV1201" s="114"/>
      <c r="CW1201" s="115"/>
      <c r="CX1201" s="116"/>
      <c r="CY1201" s="117"/>
      <c r="CZ1201" s="116"/>
      <c r="DA1201" s="113"/>
      <c r="DB1201" s="114"/>
      <c r="DC1201" s="64"/>
      <c r="DD1201" s="118"/>
    </row>
    <row r="1202" spans="1:108" s="119" customFormat="1" outlineLevel="1">
      <c r="A1202" s="178"/>
      <c r="B1202" s="192" t="s">
        <v>2460</v>
      </c>
      <c r="C1202" s="164"/>
      <c r="D1202" s="166"/>
      <c r="E1202" s="163">
        <f t="shared" ref="E1202:T1202" si="300">SUBTOTAL(9,E1159:E1201)</f>
        <v>2</v>
      </c>
      <c r="F1202" s="105">
        <f t="shared" si="300"/>
        <v>11</v>
      </c>
      <c r="G1202" s="105">
        <f t="shared" si="300"/>
        <v>0</v>
      </c>
      <c r="H1202" s="105">
        <f t="shared" si="300"/>
        <v>730</v>
      </c>
      <c r="I1202" s="105">
        <f t="shared" si="300"/>
        <v>150</v>
      </c>
      <c r="J1202" s="105">
        <f t="shared" si="300"/>
        <v>10</v>
      </c>
      <c r="K1202" s="105">
        <f t="shared" si="300"/>
        <v>137</v>
      </c>
      <c r="L1202" s="105">
        <f t="shared" si="300"/>
        <v>72</v>
      </c>
      <c r="M1202" s="105">
        <f t="shared" si="300"/>
        <v>1</v>
      </c>
      <c r="N1202" s="105">
        <f t="shared" si="300"/>
        <v>0</v>
      </c>
      <c r="O1202" s="105">
        <f t="shared" si="300"/>
        <v>2</v>
      </c>
      <c r="P1202" s="105">
        <f t="shared" si="300"/>
        <v>0</v>
      </c>
      <c r="Q1202" s="105">
        <f t="shared" si="300"/>
        <v>0</v>
      </c>
      <c r="R1202" s="105">
        <f t="shared" si="300"/>
        <v>2</v>
      </c>
      <c r="S1202" s="105">
        <f t="shared" si="300"/>
        <v>3</v>
      </c>
      <c r="T1202" s="106">
        <f t="shared" si="300"/>
        <v>0</v>
      </c>
      <c r="U1202" s="130"/>
      <c r="V1202" s="1"/>
      <c r="W1202" s="68">
        <f t="shared" ref="W1202:AD1202" si="301">SUBTOTAL(9,W1159:W1201)</f>
        <v>8904000</v>
      </c>
      <c r="X1202" s="68">
        <f t="shared" si="301"/>
        <v>0</v>
      </c>
      <c r="Y1202" s="68">
        <f t="shared" si="301"/>
        <v>14205000</v>
      </c>
      <c r="Z1202" s="68">
        <f t="shared" si="301"/>
        <v>0</v>
      </c>
      <c r="AA1202" s="68">
        <f t="shared" si="301"/>
        <v>0</v>
      </c>
      <c r="AB1202" s="68">
        <f t="shared" si="301"/>
        <v>293621350</v>
      </c>
      <c r="AC1202" s="69">
        <f t="shared" si="301"/>
        <v>316730350</v>
      </c>
      <c r="AD1202" s="70">
        <f t="shared" si="301"/>
        <v>0</v>
      </c>
      <c r="AE1202" s="63"/>
      <c r="AF1202" s="72"/>
      <c r="AG1202" s="63"/>
      <c r="AH1202" s="23"/>
      <c r="AI1202" s="60"/>
      <c r="AJ1202" s="124"/>
      <c r="AK1202" s="121"/>
      <c r="AL1202" s="107"/>
      <c r="AM1202" s="108"/>
      <c r="AN1202" s="109"/>
      <c r="AO1202" s="108"/>
      <c r="AP1202" s="108"/>
      <c r="AQ1202" s="108"/>
      <c r="AR1202" s="108"/>
      <c r="AS1202" s="108"/>
      <c r="AT1202" s="108"/>
      <c r="AU1202" s="108"/>
      <c r="AV1202" s="108"/>
      <c r="AW1202" s="108"/>
      <c r="AX1202" s="108"/>
      <c r="AY1202" s="108"/>
      <c r="AZ1202" s="108"/>
      <c r="BA1202" s="108"/>
      <c r="BB1202" s="108"/>
      <c r="BC1202" s="108"/>
      <c r="BD1202" s="108"/>
      <c r="BE1202" s="108"/>
      <c r="BF1202" s="108"/>
      <c r="BG1202" s="108"/>
      <c r="BH1202" s="108"/>
      <c r="BI1202" s="108"/>
      <c r="BJ1202" s="108"/>
      <c r="BK1202" s="108"/>
      <c r="BL1202" s="108"/>
      <c r="BM1202" s="108"/>
      <c r="BN1202" s="108"/>
      <c r="BO1202" s="108"/>
      <c r="BP1202" s="108"/>
      <c r="BQ1202" s="108"/>
      <c r="BR1202" s="108"/>
      <c r="BS1202" s="108"/>
      <c r="BT1202" s="108"/>
      <c r="BU1202" s="108"/>
      <c r="BV1202" s="108"/>
      <c r="BW1202" s="108"/>
      <c r="BX1202" s="108"/>
      <c r="BY1202" s="108"/>
      <c r="BZ1202" s="108"/>
      <c r="CA1202" s="108"/>
      <c r="CB1202" s="108"/>
      <c r="CC1202" s="108"/>
      <c r="CD1202" s="108"/>
      <c r="CE1202" s="108"/>
      <c r="CF1202" s="108"/>
      <c r="CG1202" s="108"/>
      <c r="CH1202" s="108"/>
      <c r="CI1202" s="108"/>
      <c r="CJ1202" s="108"/>
      <c r="CK1202" s="108"/>
      <c r="CL1202" s="108"/>
      <c r="CM1202" s="108"/>
      <c r="CN1202" s="110"/>
      <c r="CO1202" s="111"/>
      <c r="CP1202" s="110"/>
      <c r="CQ1202" s="111"/>
      <c r="CR1202" s="110"/>
      <c r="CS1202" s="111"/>
      <c r="CT1202" s="112"/>
      <c r="CU1202" s="113"/>
      <c r="CV1202" s="114"/>
      <c r="CW1202" s="115"/>
      <c r="CX1202" s="116"/>
      <c r="CY1202" s="117"/>
      <c r="CZ1202" s="116"/>
      <c r="DA1202" s="113"/>
      <c r="DB1202" s="114"/>
      <c r="DC1202" s="64"/>
      <c r="DD1202" s="118"/>
    </row>
    <row r="1203" spans="1:108" s="119" customFormat="1" ht="22.5" outlineLevel="2">
      <c r="A1203" s="178">
        <v>40276</v>
      </c>
      <c r="B1203" s="82" t="s">
        <v>956</v>
      </c>
      <c r="C1203" s="82" t="s">
        <v>1157</v>
      </c>
      <c r="D1203" s="165" t="s">
        <v>1262</v>
      </c>
      <c r="E1203" s="167"/>
      <c r="F1203" s="66"/>
      <c r="G1203" s="66"/>
      <c r="H1203" s="66">
        <v>10</v>
      </c>
      <c r="I1203" s="66">
        <v>2</v>
      </c>
      <c r="J1203" s="66"/>
      <c r="K1203" s="66">
        <v>2</v>
      </c>
      <c r="L1203" s="66"/>
      <c r="M1203" s="66"/>
      <c r="N1203" s="66"/>
      <c r="O1203" s="66"/>
      <c r="P1203" s="66"/>
      <c r="Q1203" s="66"/>
      <c r="R1203" s="66"/>
      <c r="S1203" s="66"/>
      <c r="T1203" s="67"/>
      <c r="U1203" s="151"/>
      <c r="V1203" s="1"/>
      <c r="W1203" s="68">
        <f t="shared" ref="W1203:W1234" si="302">CT1203</f>
        <v>0</v>
      </c>
      <c r="X1203" s="68">
        <f t="shared" ref="X1203:X1234" si="303">CX1203</f>
        <v>0</v>
      </c>
      <c r="Y1203" s="68">
        <f t="shared" ref="Y1203:Y1234" si="304">CZ1203+DB1203</f>
        <v>0</v>
      </c>
      <c r="Z1203" s="68">
        <f t="shared" ref="Z1203:Z1234" si="305">CV1203</f>
        <v>0</v>
      </c>
      <c r="AA1203" s="68"/>
      <c r="AB1203" s="68">
        <v>0</v>
      </c>
      <c r="AC1203" s="69">
        <f t="shared" ref="AC1203:AC1234" si="306">W1203+X1203+Y1203+Z1203+AA1203+AB1203</f>
        <v>0</v>
      </c>
      <c r="AD1203" s="70">
        <v>0</v>
      </c>
      <c r="AE1203" s="63">
        <v>40277</v>
      </c>
      <c r="AF1203" s="72"/>
      <c r="AG1203" s="63" t="s">
        <v>938</v>
      </c>
      <c r="AH1203" s="23" t="s">
        <v>939</v>
      </c>
      <c r="AI1203" s="60"/>
      <c r="AJ1203" s="133" t="s">
        <v>1608</v>
      </c>
      <c r="AK1203" s="73" t="s">
        <v>1960</v>
      </c>
      <c r="AL1203" s="3"/>
      <c r="AM1203" s="4"/>
      <c r="AN1203" s="5"/>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6"/>
      <c r="CO1203" s="7"/>
      <c r="CP1203" s="6"/>
      <c r="CQ1203" s="7"/>
      <c r="CR1203" s="6"/>
      <c r="CS1203" s="7"/>
      <c r="CT1203" s="8">
        <f t="shared" ref="CT1203:CT1234" si="307">AM1203+AO1203+AQ1203+AS1203+AU1203+AW1203+AY1203+BA1203+BC1203+BE1203+BG1203+BI1203+BK1203+BM1203+BO1203+BQ1203+BS1203+BU1203+BW1203+BY1203+CA1203+CC1203+CE1203+CG1203+CI1203+CK1203+CM1203+CO1203+CQ1203+CS1203</f>
        <v>0</v>
      </c>
      <c r="CU1203" s="9"/>
      <c r="CV1203" s="10"/>
      <c r="CW1203" s="11"/>
      <c r="CX1203" s="12"/>
      <c r="CY1203" s="26"/>
      <c r="CZ1203" s="12"/>
      <c r="DA1203" s="9"/>
      <c r="DB1203" s="10"/>
      <c r="DC1203" s="64"/>
      <c r="DD1203" s="22"/>
    </row>
    <row r="1204" spans="1:108" s="119" customFormat="1" outlineLevel="2">
      <c r="A1204" s="178">
        <v>40276</v>
      </c>
      <c r="B1204" s="82" t="s">
        <v>956</v>
      </c>
      <c r="C1204" s="82" t="s">
        <v>584</v>
      </c>
      <c r="D1204" s="165" t="s">
        <v>1182</v>
      </c>
      <c r="E1204" s="167"/>
      <c r="F1204" s="66"/>
      <c r="G1204" s="66"/>
      <c r="H1204" s="66"/>
      <c r="I1204" s="66"/>
      <c r="J1204" s="66"/>
      <c r="K1204" s="66"/>
      <c r="L1204" s="66"/>
      <c r="M1204" s="66"/>
      <c r="N1204" s="66"/>
      <c r="O1204" s="66"/>
      <c r="P1204" s="66"/>
      <c r="Q1204" s="66"/>
      <c r="R1204" s="66"/>
      <c r="S1204" s="66"/>
      <c r="T1204" s="67"/>
      <c r="U1204" s="151"/>
      <c r="V1204" s="1"/>
      <c r="W1204" s="68">
        <f t="shared" si="302"/>
        <v>0</v>
      </c>
      <c r="X1204" s="68">
        <f t="shared" si="303"/>
        <v>0</v>
      </c>
      <c r="Y1204" s="68">
        <f t="shared" si="304"/>
        <v>0</v>
      </c>
      <c r="Z1204" s="68">
        <f t="shared" si="305"/>
        <v>0</v>
      </c>
      <c r="AA1204" s="68"/>
      <c r="AB1204" s="68">
        <v>0</v>
      </c>
      <c r="AC1204" s="69">
        <f t="shared" si="306"/>
        <v>0</v>
      </c>
      <c r="AD1204" s="70">
        <v>0</v>
      </c>
      <c r="AE1204" s="63">
        <v>40277</v>
      </c>
      <c r="AF1204" s="72"/>
      <c r="AG1204" s="63" t="s">
        <v>938</v>
      </c>
      <c r="AH1204" s="23" t="s">
        <v>939</v>
      </c>
      <c r="AI1204" s="60"/>
      <c r="AJ1204" s="133" t="s">
        <v>1608</v>
      </c>
      <c r="AK1204" s="73" t="s">
        <v>1699</v>
      </c>
      <c r="AL1204" s="3"/>
      <c r="AM1204" s="4"/>
      <c r="AN1204" s="5"/>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6"/>
      <c r="CO1204" s="7"/>
      <c r="CP1204" s="6"/>
      <c r="CQ1204" s="7"/>
      <c r="CR1204" s="6"/>
      <c r="CS1204" s="7"/>
      <c r="CT1204" s="8">
        <f t="shared" si="307"/>
        <v>0</v>
      </c>
      <c r="CU1204" s="9"/>
      <c r="CV1204" s="10"/>
      <c r="CW1204" s="11"/>
      <c r="CX1204" s="12"/>
      <c r="CY1204" s="26"/>
      <c r="CZ1204" s="12"/>
      <c r="DA1204" s="9"/>
      <c r="DB1204" s="10"/>
      <c r="DC1204" s="64"/>
      <c r="DD1204" s="22"/>
    </row>
    <row r="1205" spans="1:108" s="119" customFormat="1" ht="22.5" outlineLevel="2">
      <c r="A1205" s="178">
        <v>40276</v>
      </c>
      <c r="B1205" s="82" t="s">
        <v>956</v>
      </c>
      <c r="C1205" s="82" t="s">
        <v>1052</v>
      </c>
      <c r="D1205" s="165" t="s">
        <v>435</v>
      </c>
      <c r="E1205" s="167"/>
      <c r="F1205" s="66"/>
      <c r="G1205" s="66"/>
      <c r="H1205" s="66"/>
      <c r="I1205" s="66"/>
      <c r="J1205" s="66"/>
      <c r="K1205" s="66"/>
      <c r="L1205" s="66"/>
      <c r="M1205" s="66"/>
      <c r="N1205" s="66"/>
      <c r="O1205" s="66"/>
      <c r="P1205" s="66"/>
      <c r="Q1205" s="66"/>
      <c r="R1205" s="66">
        <v>1</v>
      </c>
      <c r="S1205" s="66"/>
      <c r="T1205" s="67"/>
      <c r="U1205" s="151"/>
      <c r="V1205" s="1"/>
      <c r="W1205" s="68">
        <f t="shared" si="302"/>
        <v>0</v>
      </c>
      <c r="X1205" s="68">
        <f t="shared" si="303"/>
        <v>0</v>
      </c>
      <c r="Y1205" s="68">
        <f t="shared" si="304"/>
        <v>0</v>
      </c>
      <c r="Z1205" s="68">
        <f t="shared" si="305"/>
        <v>0</v>
      </c>
      <c r="AA1205" s="68"/>
      <c r="AB1205" s="68">
        <v>0</v>
      </c>
      <c r="AC1205" s="69">
        <f t="shared" si="306"/>
        <v>0</v>
      </c>
      <c r="AD1205" s="70">
        <v>0</v>
      </c>
      <c r="AE1205" s="63">
        <v>40277</v>
      </c>
      <c r="AF1205" s="72"/>
      <c r="AG1205" s="63" t="s">
        <v>938</v>
      </c>
      <c r="AH1205" s="23" t="s">
        <v>939</v>
      </c>
      <c r="AI1205" s="60"/>
      <c r="AJ1205" s="133" t="s">
        <v>1608</v>
      </c>
      <c r="AK1205" s="73" t="s">
        <v>1053</v>
      </c>
      <c r="AL1205" s="3"/>
      <c r="AM1205" s="4"/>
      <c r="AN1205" s="5"/>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6"/>
      <c r="CO1205" s="7"/>
      <c r="CP1205" s="6"/>
      <c r="CQ1205" s="7"/>
      <c r="CR1205" s="6"/>
      <c r="CS1205" s="7"/>
      <c r="CT1205" s="8">
        <f t="shared" si="307"/>
        <v>0</v>
      </c>
      <c r="CU1205" s="9"/>
      <c r="CV1205" s="10"/>
      <c r="CW1205" s="11"/>
      <c r="CX1205" s="12"/>
      <c r="CY1205" s="26"/>
      <c r="CZ1205" s="12"/>
      <c r="DA1205" s="9"/>
      <c r="DB1205" s="10"/>
      <c r="DC1205" s="64"/>
      <c r="DD1205" s="22"/>
    </row>
    <row r="1206" spans="1:108" s="119" customFormat="1" ht="22.5" outlineLevel="2">
      <c r="A1206" s="178">
        <v>40279</v>
      </c>
      <c r="B1206" s="82" t="s">
        <v>956</v>
      </c>
      <c r="C1206" s="82" t="s">
        <v>1157</v>
      </c>
      <c r="D1206" s="165" t="s">
        <v>1262</v>
      </c>
      <c r="E1206" s="167"/>
      <c r="F1206" s="66"/>
      <c r="G1206" s="66"/>
      <c r="H1206" s="66">
        <v>5</v>
      </c>
      <c r="I1206" s="66">
        <v>1</v>
      </c>
      <c r="J1206" s="66"/>
      <c r="K1206" s="66">
        <v>1</v>
      </c>
      <c r="L1206" s="66"/>
      <c r="M1206" s="66"/>
      <c r="N1206" s="66"/>
      <c r="O1206" s="66"/>
      <c r="P1206" s="66"/>
      <c r="Q1206" s="66"/>
      <c r="R1206" s="66"/>
      <c r="S1206" s="66"/>
      <c r="T1206" s="67"/>
      <c r="U1206" s="151"/>
      <c r="V1206" s="1"/>
      <c r="W1206" s="68">
        <f t="shared" si="302"/>
        <v>0</v>
      </c>
      <c r="X1206" s="68">
        <f t="shared" si="303"/>
        <v>0</v>
      </c>
      <c r="Y1206" s="68">
        <f t="shared" si="304"/>
        <v>0</v>
      </c>
      <c r="Z1206" s="68">
        <f t="shared" si="305"/>
        <v>0</v>
      </c>
      <c r="AA1206" s="68"/>
      <c r="AB1206" s="68">
        <v>0</v>
      </c>
      <c r="AC1206" s="69">
        <f t="shared" si="306"/>
        <v>0</v>
      </c>
      <c r="AD1206" s="70">
        <v>0</v>
      </c>
      <c r="AE1206" s="63">
        <v>40280</v>
      </c>
      <c r="AF1206" s="72"/>
      <c r="AG1206" s="63" t="s">
        <v>938</v>
      </c>
      <c r="AH1206" s="23" t="s">
        <v>939</v>
      </c>
      <c r="AI1206" s="60"/>
      <c r="AJ1206" s="133" t="s">
        <v>1608</v>
      </c>
      <c r="AK1206" s="73" t="s">
        <v>531</v>
      </c>
      <c r="AL1206" s="3"/>
      <c r="AM1206" s="4"/>
      <c r="AN1206" s="5"/>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6"/>
      <c r="CO1206" s="7"/>
      <c r="CP1206" s="6"/>
      <c r="CQ1206" s="7"/>
      <c r="CR1206" s="6"/>
      <c r="CS1206" s="7"/>
      <c r="CT1206" s="8">
        <f t="shared" si="307"/>
        <v>0</v>
      </c>
      <c r="CU1206" s="9"/>
      <c r="CV1206" s="10"/>
      <c r="CW1206" s="11"/>
      <c r="CX1206" s="12"/>
      <c r="CY1206" s="26"/>
      <c r="CZ1206" s="12"/>
      <c r="DA1206" s="9"/>
      <c r="DB1206" s="10"/>
      <c r="DC1206" s="64"/>
      <c r="DD1206" s="22"/>
    </row>
    <row r="1207" spans="1:108" s="119" customFormat="1" outlineLevel="2">
      <c r="A1207" s="178">
        <v>40279</v>
      </c>
      <c r="B1207" s="82" t="s">
        <v>956</v>
      </c>
      <c r="C1207" s="82" t="s">
        <v>882</v>
      </c>
      <c r="D1207" s="165" t="s">
        <v>1262</v>
      </c>
      <c r="E1207" s="167"/>
      <c r="F1207" s="66"/>
      <c r="G1207" s="66"/>
      <c r="H1207" s="66">
        <v>5</v>
      </c>
      <c r="I1207" s="66">
        <v>1</v>
      </c>
      <c r="J1207" s="66"/>
      <c r="K1207" s="66">
        <v>1</v>
      </c>
      <c r="L1207" s="66"/>
      <c r="M1207" s="66"/>
      <c r="N1207" s="66"/>
      <c r="O1207" s="66"/>
      <c r="P1207" s="66"/>
      <c r="Q1207" s="66"/>
      <c r="R1207" s="66"/>
      <c r="S1207" s="66"/>
      <c r="T1207" s="67"/>
      <c r="U1207" s="151"/>
      <c r="V1207" s="1"/>
      <c r="W1207" s="68">
        <f t="shared" si="302"/>
        <v>0</v>
      </c>
      <c r="X1207" s="68">
        <f t="shared" si="303"/>
        <v>0</v>
      </c>
      <c r="Y1207" s="68">
        <f t="shared" si="304"/>
        <v>0</v>
      </c>
      <c r="Z1207" s="68">
        <f t="shared" si="305"/>
        <v>0</v>
      </c>
      <c r="AA1207" s="68"/>
      <c r="AB1207" s="68">
        <v>0</v>
      </c>
      <c r="AC1207" s="69">
        <f t="shared" si="306"/>
        <v>0</v>
      </c>
      <c r="AD1207" s="70">
        <v>0</v>
      </c>
      <c r="AE1207" s="63">
        <v>40280</v>
      </c>
      <c r="AF1207" s="72"/>
      <c r="AG1207" s="63" t="s">
        <v>938</v>
      </c>
      <c r="AH1207" s="23" t="s">
        <v>939</v>
      </c>
      <c r="AI1207" s="60"/>
      <c r="AJ1207" s="133" t="s">
        <v>1608</v>
      </c>
      <c r="AK1207" s="73" t="s">
        <v>532</v>
      </c>
      <c r="AL1207" s="3"/>
      <c r="AM1207" s="4"/>
      <c r="AN1207" s="5"/>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6"/>
      <c r="CO1207" s="7"/>
      <c r="CP1207" s="6"/>
      <c r="CQ1207" s="7"/>
      <c r="CR1207" s="6"/>
      <c r="CS1207" s="7"/>
      <c r="CT1207" s="8">
        <f t="shared" si="307"/>
        <v>0</v>
      </c>
      <c r="CU1207" s="9"/>
      <c r="CV1207" s="10"/>
      <c r="CW1207" s="11"/>
      <c r="CX1207" s="12"/>
      <c r="CY1207" s="26"/>
      <c r="CZ1207" s="12"/>
      <c r="DA1207" s="9"/>
      <c r="DB1207" s="10"/>
      <c r="DC1207" s="64"/>
      <c r="DD1207" s="22"/>
    </row>
    <row r="1208" spans="1:108" s="119" customFormat="1" outlineLevel="2">
      <c r="A1208" s="178">
        <v>40279</v>
      </c>
      <c r="B1208" s="82" t="s">
        <v>956</v>
      </c>
      <c r="C1208" s="82" t="s">
        <v>584</v>
      </c>
      <c r="D1208" s="165" t="s">
        <v>1262</v>
      </c>
      <c r="E1208" s="167"/>
      <c r="F1208" s="66"/>
      <c r="G1208" s="66"/>
      <c r="H1208" s="66">
        <v>10</v>
      </c>
      <c r="I1208" s="66">
        <v>2</v>
      </c>
      <c r="J1208" s="66"/>
      <c r="K1208" s="66">
        <v>2</v>
      </c>
      <c r="L1208" s="66"/>
      <c r="M1208" s="66"/>
      <c r="N1208" s="66"/>
      <c r="O1208" s="66"/>
      <c r="P1208" s="66"/>
      <c r="Q1208" s="66"/>
      <c r="R1208" s="66"/>
      <c r="S1208" s="66"/>
      <c r="T1208" s="67"/>
      <c r="U1208" s="151"/>
      <c r="V1208" s="1"/>
      <c r="W1208" s="68">
        <f t="shared" si="302"/>
        <v>0</v>
      </c>
      <c r="X1208" s="68">
        <f t="shared" si="303"/>
        <v>0</v>
      </c>
      <c r="Y1208" s="68">
        <f t="shared" si="304"/>
        <v>0</v>
      </c>
      <c r="Z1208" s="68">
        <f t="shared" si="305"/>
        <v>0</v>
      </c>
      <c r="AA1208" s="68"/>
      <c r="AB1208" s="68">
        <v>0</v>
      </c>
      <c r="AC1208" s="69">
        <f t="shared" si="306"/>
        <v>0</v>
      </c>
      <c r="AD1208" s="70">
        <v>0</v>
      </c>
      <c r="AE1208" s="63">
        <v>40280</v>
      </c>
      <c r="AF1208" s="72"/>
      <c r="AG1208" s="63" t="s">
        <v>938</v>
      </c>
      <c r="AH1208" s="23" t="s">
        <v>939</v>
      </c>
      <c r="AI1208" s="60"/>
      <c r="AJ1208" s="133" t="s">
        <v>1608</v>
      </c>
      <c r="AK1208" s="73" t="s">
        <v>1960</v>
      </c>
      <c r="AL1208" s="3"/>
      <c r="AM1208" s="4"/>
      <c r="AN1208" s="5"/>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6"/>
      <c r="CO1208" s="7"/>
      <c r="CP1208" s="6"/>
      <c r="CQ1208" s="7"/>
      <c r="CR1208" s="6"/>
      <c r="CS1208" s="7"/>
      <c r="CT1208" s="8">
        <f t="shared" si="307"/>
        <v>0</v>
      </c>
      <c r="CU1208" s="9"/>
      <c r="CV1208" s="10"/>
      <c r="CW1208" s="11"/>
      <c r="CX1208" s="12"/>
      <c r="CY1208" s="26"/>
      <c r="CZ1208" s="12"/>
      <c r="DA1208" s="9"/>
      <c r="DB1208" s="10"/>
      <c r="DC1208" s="64"/>
      <c r="DD1208" s="22"/>
    </row>
    <row r="1209" spans="1:108" s="119" customFormat="1" ht="22.5" outlineLevel="2">
      <c r="A1209" s="178">
        <v>40279</v>
      </c>
      <c r="B1209" s="82" t="s">
        <v>956</v>
      </c>
      <c r="C1209" s="82" t="s">
        <v>1052</v>
      </c>
      <c r="D1209" s="165" t="s">
        <v>1262</v>
      </c>
      <c r="E1209" s="167"/>
      <c r="F1209" s="66"/>
      <c r="G1209" s="66"/>
      <c r="H1209" s="66">
        <v>20</v>
      </c>
      <c r="I1209" s="66">
        <v>4</v>
      </c>
      <c r="J1209" s="66"/>
      <c r="K1209" s="66">
        <v>4</v>
      </c>
      <c r="L1209" s="66"/>
      <c r="M1209" s="66"/>
      <c r="N1209" s="66"/>
      <c r="O1209" s="66"/>
      <c r="P1209" s="66"/>
      <c r="Q1209" s="66"/>
      <c r="R1209" s="66"/>
      <c r="S1209" s="66"/>
      <c r="T1209" s="67"/>
      <c r="U1209" s="151"/>
      <c r="V1209" s="1"/>
      <c r="W1209" s="68">
        <f t="shared" si="302"/>
        <v>0</v>
      </c>
      <c r="X1209" s="68">
        <f t="shared" si="303"/>
        <v>0</v>
      </c>
      <c r="Y1209" s="68">
        <f t="shared" si="304"/>
        <v>0</v>
      </c>
      <c r="Z1209" s="68">
        <f t="shared" si="305"/>
        <v>0</v>
      </c>
      <c r="AA1209" s="68"/>
      <c r="AB1209" s="68">
        <v>0</v>
      </c>
      <c r="AC1209" s="69">
        <f t="shared" si="306"/>
        <v>0</v>
      </c>
      <c r="AD1209" s="70">
        <v>0</v>
      </c>
      <c r="AE1209" s="63">
        <v>40280</v>
      </c>
      <c r="AF1209" s="72"/>
      <c r="AG1209" s="63" t="s">
        <v>938</v>
      </c>
      <c r="AH1209" s="23" t="s">
        <v>939</v>
      </c>
      <c r="AI1209" s="60"/>
      <c r="AJ1209" s="133" t="s">
        <v>1608</v>
      </c>
      <c r="AK1209" s="73" t="s">
        <v>1960</v>
      </c>
      <c r="AL1209" s="3"/>
      <c r="AM1209" s="4"/>
      <c r="AN1209" s="5"/>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6"/>
      <c r="CO1209" s="7"/>
      <c r="CP1209" s="6"/>
      <c r="CQ1209" s="7"/>
      <c r="CR1209" s="6"/>
      <c r="CS1209" s="7"/>
      <c r="CT1209" s="8">
        <f t="shared" si="307"/>
        <v>0</v>
      </c>
      <c r="CU1209" s="9"/>
      <c r="CV1209" s="10"/>
      <c r="CW1209" s="11"/>
      <c r="CX1209" s="12"/>
      <c r="CY1209" s="26"/>
      <c r="CZ1209" s="12"/>
      <c r="DA1209" s="9"/>
      <c r="DB1209" s="10"/>
      <c r="DC1209" s="64"/>
      <c r="DD1209" s="22"/>
    </row>
    <row r="1210" spans="1:108" s="119" customFormat="1" outlineLevel="2">
      <c r="A1210" s="178">
        <v>40302</v>
      </c>
      <c r="B1210" s="82" t="s">
        <v>956</v>
      </c>
      <c r="C1210" s="82" t="s">
        <v>1529</v>
      </c>
      <c r="D1210" s="165" t="s">
        <v>1262</v>
      </c>
      <c r="E1210" s="167"/>
      <c r="F1210" s="66"/>
      <c r="G1210" s="66"/>
      <c r="H1210" s="66">
        <v>15</v>
      </c>
      <c r="I1210" s="66">
        <v>3</v>
      </c>
      <c r="J1210" s="66"/>
      <c r="K1210" s="66">
        <v>3</v>
      </c>
      <c r="L1210" s="66"/>
      <c r="M1210" s="66"/>
      <c r="N1210" s="66"/>
      <c r="O1210" s="66"/>
      <c r="P1210" s="66"/>
      <c r="Q1210" s="66"/>
      <c r="R1210" s="66"/>
      <c r="S1210" s="66"/>
      <c r="T1210" s="67"/>
      <c r="U1210" s="151"/>
      <c r="V1210" s="1"/>
      <c r="W1210" s="68">
        <f t="shared" si="302"/>
        <v>0</v>
      </c>
      <c r="X1210" s="68">
        <f t="shared" si="303"/>
        <v>0</v>
      </c>
      <c r="Y1210" s="68">
        <f t="shared" si="304"/>
        <v>0</v>
      </c>
      <c r="Z1210" s="68">
        <f t="shared" si="305"/>
        <v>0</v>
      </c>
      <c r="AA1210" s="68"/>
      <c r="AB1210" s="68">
        <v>0</v>
      </c>
      <c r="AC1210" s="69">
        <f t="shared" si="306"/>
        <v>0</v>
      </c>
      <c r="AD1210" s="70">
        <v>0</v>
      </c>
      <c r="AE1210" s="63">
        <v>40302</v>
      </c>
      <c r="AF1210" s="72"/>
      <c r="AG1210" s="63" t="s">
        <v>938</v>
      </c>
      <c r="AH1210" s="23" t="s">
        <v>939</v>
      </c>
      <c r="AI1210" s="60"/>
      <c r="AJ1210" s="133" t="s">
        <v>1608</v>
      </c>
      <c r="AK1210" s="73" t="s">
        <v>1530</v>
      </c>
      <c r="AL1210" s="3"/>
      <c r="AM1210" s="4"/>
      <c r="AN1210" s="5"/>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6"/>
      <c r="CO1210" s="7"/>
      <c r="CP1210" s="6"/>
      <c r="CQ1210" s="7"/>
      <c r="CR1210" s="6"/>
      <c r="CS1210" s="7"/>
      <c r="CT1210" s="8">
        <f t="shared" si="307"/>
        <v>0</v>
      </c>
      <c r="CU1210" s="9"/>
      <c r="CV1210" s="10"/>
      <c r="CW1210" s="11"/>
      <c r="CX1210" s="12"/>
      <c r="CY1210" s="26"/>
      <c r="CZ1210" s="12"/>
      <c r="DA1210" s="9"/>
      <c r="DB1210" s="10"/>
      <c r="DC1210" s="64"/>
      <c r="DD1210" s="22"/>
    </row>
    <row r="1211" spans="1:108" s="119" customFormat="1" ht="36" outlineLevel="2">
      <c r="A1211" s="178">
        <v>40309</v>
      </c>
      <c r="B1211" s="82" t="s">
        <v>956</v>
      </c>
      <c r="C1211" s="82" t="s">
        <v>881</v>
      </c>
      <c r="D1211" s="165" t="s">
        <v>435</v>
      </c>
      <c r="E1211" s="167"/>
      <c r="F1211" s="66"/>
      <c r="G1211" s="66"/>
      <c r="H1211" s="66">
        <f>23*5</f>
        <v>115</v>
      </c>
      <c r="I1211" s="66">
        <v>23</v>
      </c>
      <c r="J1211" s="66">
        <v>1</v>
      </c>
      <c r="K1211" s="66">
        <v>22</v>
      </c>
      <c r="L1211" s="66">
        <v>1</v>
      </c>
      <c r="M1211" s="66"/>
      <c r="N1211" s="66"/>
      <c r="O1211" s="66"/>
      <c r="P1211" s="66"/>
      <c r="Q1211" s="66"/>
      <c r="R1211" s="66"/>
      <c r="S1211" s="66"/>
      <c r="T1211" s="67"/>
      <c r="U1211" s="151"/>
      <c r="V1211" s="1"/>
      <c r="W1211" s="68">
        <f t="shared" si="302"/>
        <v>0</v>
      </c>
      <c r="X1211" s="68">
        <f t="shared" si="303"/>
        <v>0</v>
      </c>
      <c r="Y1211" s="68">
        <f t="shared" si="304"/>
        <v>0</v>
      </c>
      <c r="Z1211" s="68">
        <f t="shared" si="305"/>
        <v>0</v>
      </c>
      <c r="AA1211" s="68"/>
      <c r="AB1211" s="68">
        <v>0</v>
      </c>
      <c r="AC1211" s="69">
        <f t="shared" si="306"/>
        <v>0</v>
      </c>
      <c r="AD1211" s="70">
        <v>0</v>
      </c>
      <c r="AE1211" s="63">
        <v>40310</v>
      </c>
      <c r="AF1211" s="72"/>
      <c r="AG1211" s="63" t="s">
        <v>938</v>
      </c>
      <c r="AH1211" s="23" t="s">
        <v>939</v>
      </c>
      <c r="AI1211" s="60"/>
      <c r="AJ1211" s="133" t="s">
        <v>1608</v>
      </c>
      <c r="AK1211" s="73" t="s">
        <v>539</v>
      </c>
      <c r="AL1211" s="3"/>
      <c r="AM1211" s="4"/>
      <c r="AN1211" s="5"/>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6"/>
      <c r="CO1211" s="7"/>
      <c r="CP1211" s="6"/>
      <c r="CQ1211" s="7"/>
      <c r="CR1211" s="6"/>
      <c r="CS1211" s="7"/>
      <c r="CT1211" s="8">
        <f t="shared" si="307"/>
        <v>0</v>
      </c>
      <c r="CU1211" s="9"/>
      <c r="CV1211" s="10"/>
      <c r="CW1211" s="11"/>
      <c r="CX1211" s="12"/>
      <c r="CY1211" s="26"/>
      <c r="CZ1211" s="12"/>
      <c r="DA1211" s="9"/>
      <c r="DB1211" s="10"/>
      <c r="DC1211" s="64"/>
      <c r="DD1211" s="22"/>
    </row>
    <row r="1212" spans="1:108" s="119" customFormat="1" ht="36" outlineLevel="2">
      <c r="A1212" s="178">
        <v>40310</v>
      </c>
      <c r="B1212" s="82" t="s">
        <v>956</v>
      </c>
      <c r="C1212" s="82" t="s">
        <v>425</v>
      </c>
      <c r="D1212" s="165" t="s">
        <v>1262</v>
      </c>
      <c r="E1212" s="167"/>
      <c r="F1212" s="66"/>
      <c r="G1212" s="66"/>
      <c r="H1212" s="66"/>
      <c r="I1212" s="66"/>
      <c r="J1212" s="66"/>
      <c r="K1212" s="66"/>
      <c r="L1212" s="66">
        <v>1</v>
      </c>
      <c r="M1212" s="66"/>
      <c r="N1212" s="66"/>
      <c r="O1212" s="66"/>
      <c r="P1212" s="66"/>
      <c r="Q1212" s="66"/>
      <c r="R1212" s="66"/>
      <c r="S1212" s="66"/>
      <c r="T1212" s="67"/>
      <c r="U1212" s="151"/>
      <c r="V1212" s="1"/>
      <c r="W1212" s="68">
        <f t="shared" si="302"/>
        <v>0</v>
      </c>
      <c r="X1212" s="68">
        <f t="shared" si="303"/>
        <v>0</v>
      </c>
      <c r="Y1212" s="68">
        <f t="shared" si="304"/>
        <v>0</v>
      </c>
      <c r="Z1212" s="68">
        <f t="shared" si="305"/>
        <v>0</v>
      </c>
      <c r="AA1212" s="68"/>
      <c r="AB1212" s="68">
        <v>0</v>
      </c>
      <c r="AC1212" s="69">
        <f t="shared" si="306"/>
        <v>0</v>
      </c>
      <c r="AD1212" s="70">
        <v>0</v>
      </c>
      <c r="AE1212" s="63">
        <v>40311</v>
      </c>
      <c r="AF1212" s="72"/>
      <c r="AG1212" s="63" t="s">
        <v>938</v>
      </c>
      <c r="AH1212" s="23" t="s">
        <v>939</v>
      </c>
      <c r="AI1212" s="60"/>
      <c r="AJ1212" s="133" t="s">
        <v>1608</v>
      </c>
      <c r="AK1212" s="73" t="s">
        <v>426</v>
      </c>
      <c r="AL1212" s="3"/>
      <c r="AM1212" s="4"/>
      <c r="AN1212" s="5"/>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6"/>
      <c r="CO1212" s="7"/>
      <c r="CP1212" s="6"/>
      <c r="CQ1212" s="7"/>
      <c r="CR1212" s="6"/>
      <c r="CS1212" s="7"/>
      <c r="CT1212" s="8">
        <f t="shared" si="307"/>
        <v>0</v>
      </c>
      <c r="CU1212" s="9"/>
      <c r="CV1212" s="10"/>
      <c r="CW1212" s="11"/>
      <c r="CX1212" s="12"/>
      <c r="CY1212" s="26"/>
      <c r="CZ1212" s="12"/>
      <c r="DA1212" s="9"/>
      <c r="DB1212" s="10"/>
      <c r="DC1212" s="64"/>
      <c r="DD1212" s="22"/>
    </row>
    <row r="1213" spans="1:108" s="119" customFormat="1" ht="96" outlineLevel="2">
      <c r="A1213" s="178">
        <v>40311</v>
      </c>
      <c r="B1213" s="82" t="s">
        <v>956</v>
      </c>
      <c r="C1213" s="82" t="s">
        <v>2379</v>
      </c>
      <c r="D1213" s="165" t="s">
        <v>1200</v>
      </c>
      <c r="E1213" s="167"/>
      <c r="F1213" s="66"/>
      <c r="G1213" s="66"/>
      <c r="H1213" s="66">
        <v>5000</v>
      </c>
      <c r="I1213" s="66">
        <v>1090</v>
      </c>
      <c r="J1213" s="66"/>
      <c r="K1213" s="66"/>
      <c r="L1213" s="66"/>
      <c r="M1213" s="66"/>
      <c r="N1213" s="66"/>
      <c r="O1213" s="66">
        <v>1</v>
      </c>
      <c r="P1213" s="66"/>
      <c r="Q1213" s="66"/>
      <c r="R1213" s="66"/>
      <c r="S1213" s="66"/>
      <c r="T1213" s="67"/>
      <c r="U1213" s="151"/>
      <c r="V1213" s="1">
        <v>40318</v>
      </c>
      <c r="W1213" s="68">
        <f t="shared" si="302"/>
        <v>0</v>
      </c>
      <c r="X1213" s="68">
        <f t="shared" si="303"/>
        <v>0</v>
      </c>
      <c r="Y1213" s="68">
        <f t="shared" si="304"/>
        <v>0</v>
      </c>
      <c r="Z1213" s="68">
        <f t="shared" si="305"/>
        <v>0</v>
      </c>
      <c r="AA1213" s="68"/>
      <c r="AB1213" s="68">
        <v>50000000</v>
      </c>
      <c r="AC1213" s="69">
        <f t="shared" si="306"/>
        <v>50000000</v>
      </c>
      <c r="AD1213" s="70">
        <v>0</v>
      </c>
      <c r="AE1213" s="63">
        <v>40316</v>
      </c>
      <c r="AF1213" s="72">
        <v>97586</v>
      </c>
      <c r="AG1213" s="63" t="s">
        <v>954</v>
      </c>
      <c r="AH1213" s="23" t="s">
        <v>955</v>
      </c>
      <c r="AI1213" s="60">
        <v>246</v>
      </c>
      <c r="AJ1213" s="133" t="s">
        <v>1476</v>
      </c>
      <c r="AK1213" s="73" t="s">
        <v>1443</v>
      </c>
      <c r="AL1213" s="3"/>
      <c r="AM1213" s="4"/>
      <c r="AN1213" s="5"/>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6"/>
      <c r="CO1213" s="7"/>
      <c r="CP1213" s="6"/>
      <c r="CQ1213" s="7"/>
      <c r="CR1213" s="6"/>
      <c r="CS1213" s="7"/>
      <c r="CT1213" s="8">
        <f t="shared" si="307"/>
        <v>0</v>
      </c>
      <c r="CU1213" s="9"/>
      <c r="CV1213" s="10"/>
      <c r="CW1213" s="11"/>
      <c r="CX1213" s="12"/>
      <c r="CY1213" s="26"/>
      <c r="CZ1213" s="12"/>
      <c r="DA1213" s="9"/>
      <c r="DB1213" s="10"/>
      <c r="DC1213" s="64">
        <v>4</v>
      </c>
      <c r="DD1213" s="22"/>
    </row>
    <row r="1214" spans="1:108" s="119" customFormat="1" ht="24" outlineLevel="2">
      <c r="A1214" s="178">
        <v>40317</v>
      </c>
      <c r="B1214" s="82" t="s">
        <v>956</v>
      </c>
      <c r="C1214" s="82" t="s">
        <v>584</v>
      </c>
      <c r="D1214" s="165" t="s">
        <v>1182</v>
      </c>
      <c r="E1214" s="167"/>
      <c r="F1214" s="66"/>
      <c r="G1214" s="66">
        <v>1</v>
      </c>
      <c r="H1214" s="66"/>
      <c r="I1214" s="66"/>
      <c r="J1214" s="66"/>
      <c r="K1214" s="66"/>
      <c r="L1214" s="66"/>
      <c r="M1214" s="66"/>
      <c r="N1214" s="66"/>
      <c r="O1214" s="66"/>
      <c r="P1214" s="66"/>
      <c r="Q1214" s="66"/>
      <c r="R1214" s="66"/>
      <c r="S1214" s="66"/>
      <c r="T1214" s="67"/>
      <c r="U1214" s="151"/>
      <c r="V1214" s="1"/>
      <c r="W1214" s="68">
        <f t="shared" si="302"/>
        <v>0</v>
      </c>
      <c r="X1214" s="68">
        <f t="shared" si="303"/>
        <v>0</v>
      </c>
      <c r="Y1214" s="68">
        <f t="shared" si="304"/>
        <v>0</v>
      </c>
      <c r="Z1214" s="68">
        <f t="shared" si="305"/>
        <v>0</v>
      </c>
      <c r="AA1214" s="68"/>
      <c r="AB1214" s="68">
        <v>0</v>
      </c>
      <c r="AC1214" s="69">
        <f t="shared" si="306"/>
        <v>0</v>
      </c>
      <c r="AD1214" s="70">
        <v>0</v>
      </c>
      <c r="AE1214" s="63">
        <v>40318</v>
      </c>
      <c r="AF1214" s="72"/>
      <c r="AG1214" s="63" t="s">
        <v>938</v>
      </c>
      <c r="AH1214" s="23" t="s">
        <v>939</v>
      </c>
      <c r="AI1214" s="60"/>
      <c r="AJ1214" s="133" t="s">
        <v>1608</v>
      </c>
      <c r="AK1214" s="73" t="s">
        <v>2378</v>
      </c>
      <c r="AL1214" s="3"/>
      <c r="AM1214" s="4"/>
      <c r="AN1214" s="5"/>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6"/>
      <c r="CO1214" s="7"/>
      <c r="CP1214" s="6"/>
      <c r="CQ1214" s="7"/>
      <c r="CR1214" s="6"/>
      <c r="CS1214" s="7"/>
      <c r="CT1214" s="8">
        <f t="shared" si="307"/>
        <v>0</v>
      </c>
      <c r="CU1214" s="9"/>
      <c r="CV1214" s="10"/>
      <c r="CW1214" s="11"/>
      <c r="CX1214" s="12"/>
      <c r="CY1214" s="26"/>
      <c r="CZ1214" s="12"/>
      <c r="DA1214" s="9"/>
      <c r="DB1214" s="10"/>
      <c r="DC1214" s="64"/>
      <c r="DD1214" s="22"/>
    </row>
    <row r="1215" spans="1:108" s="119" customFormat="1" ht="48" outlineLevel="2">
      <c r="A1215" s="178">
        <v>40324</v>
      </c>
      <c r="B1215" s="82" t="s">
        <v>956</v>
      </c>
      <c r="C1215" s="82" t="s">
        <v>584</v>
      </c>
      <c r="D1215" s="165" t="s">
        <v>1262</v>
      </c>
      <c r="E1215" s="167"/>
      <c r="F1215" s="66"/>
      <c r="G1215" s="66"/>
      <c r="H1215" s="66">
        <v>180</v>
      </c>
      <c r="I1215" s="66">
        <v>34</v>
      </c>
      <c r="J1215" s="66"/>
      <c r="K1215" s="66">
        <v>34</v>
      </c>
      <c r="L1215" s="66"/>
      <c r="M1215" s="66"/>
      <c r="N1215" s="66"/>
      <c r="O1215" s="66"/>
      <c r="P1215" s="66"/>
      <c r="Q1215" s="66"/>
      <c r="R1215" s="66"/>
      <c r="S1215" s="66"/>
      <c r="T1215" s="67"/>
      <c r="U1215" s="151"/>
      <c r="V1215" s="1"/>
      <c r="W1215" s="68">
        <f t="shared" si="302"/>
        <v>0</v>
      </c>
      <c r="X1215" s="68">
        <f t="shared" si="303"/>
        <v>0</v>
      </c>
      <c r="Y1215" s="68">
        <f t="shared" si="304"/>
        <v>0</v>
      </c>
      <c r="Z1215" s="68">
        <f t="shared" si="305"/>
        <v>0</v>
      </c>
      <c r="AA1215" s="68"/>
      <c r="AB1215" s="68">
        <v>0</v>
      </c>
      <c r="AC1215" s="69">
        <f t="shared" si="306"/>
        <v>0</v>
      </c>
      <c r="AD1215" s="70">
        <v>0</v>
      </c>
      <c r="AE1215" s="63">
        <v>40326</v>
      </c>
      <c r="AF1215" s="72"/>
      <c r="AG1215" s="63" t="s">
        <v>938</v>
      </c>
      <c r="AH1215" s="23" t="s">
        <v>939</v>
      </c>
      <c r="AI1215" s="60"/>
      <c r="AJ1215" s="133" t="s">
        <v>1608</v>
      </c>
      <c r="AK1215" s="73" t="s">
        <v>1404</v>
      </c>
      <c r="AL1215" s="3"/>
      <c r="AM1215" s="4"/>
      <c r="AN1215" s="5"/>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6"/>
      <c r="CO1215" s="7"/>
      <c r="CP1215" s="6"/>
      <c r="CQ1215" s="7"/>
      <c r="CR1215" s="6"/>
      <c r="CS1215" s="7"/>
      <c r="CT1215" s="8">
        <f t="shared" si="307"/>
        <v>0</v>
      </c>
      <c r="CU1215" s="9"/>
      <c r="CV1215" s="10"/>
      <c r="CW1215" s="11"/>
      <c r="CX1215" s="12"/>
      <c r="CY1215" s="26"/>
      <c r="CZ1215" s="12"/>
      <c r="DA1215" s="9"/>
      <c r="DB1215" s="10"/>
      <c r="DC1215" s="64"/>
      <c r="DD1215" s="22"/>
    </row>
    <row r="1216" spans="1:108" s="119" customFormat="1" outlineLevel="2">
      <c r="A1216" s="178">
        <v>40328</v>
      </c>
      <c r="B1216" s="82" t="s">
        <v>956</v>
      </c>
      <c r="C1216" s="82" t="s">
        <v>425</v>
      </c>
      <c r="D1216" s="165" t="s">
        <v>435</v>
      </c>
      <c r="E1216" s="167"/>
      <c r="F1216" s="66"/>
      <c r="G1216" s="66"/>
      <c r="H1216" s="66">
        <v>15</v>
      </c>
      <c r="I1216" s="66">
        <v>3</v>
      </c>
      <c r="J1216" s="66"/>
      <c r="K1216" s="66">
        <v>3</v>
      </c>
      <c r="L1216" s="66"/>
      <c r="M1216" s="66"/>
      <c r="N1216" s="66"/>
      <c r="O1216" s="66"/>
      <c r="P1216" s="66"/>
      <c r="Q1216" s="66"/>
      <c r="R1216" s="66"/>
      <c r="S1216" s="66"/>
      <c r="T1216" s="67"/>
      <c r="U1216" s="151"/>
      <c r="V1216" s="1"/>
      <c r="W1216" s="68">
        <f t="shared" si="302"/>
        <v>0</v>
      </c>
      <c r="X1216" s="68">
        <f t="shared" si="303"/>
        <v>0</v>
      </c>
      <c r="Y1216" s="68">
        <f t="shared" si="304"/>
        <v>0</v>
      </c>
      <c r="Z1216" s="68">
        <f t="shared" si="305"/>
        <v>0</v>
      </c>
      <c r="AA1216" s="68"/>
      <c r="AB1216" s="68">
        <v>0</v>
      </c>
      <c r="AC1216" s="69">
        <f t="shared" si="306"/>
        <v>0</v>
      </c>
      <c r="AD1216" s="70">
        <v>0</v>
      </c>
      <c r="AE1216" s="63">
        <v>40329</v>
      </c>
      <c r="AF1216" s="72"/>
      <c r="AG1216" s="63" t="s">
        <v>938</v>
      </c>
      <c r="AH1216" s="23" t="s">
        <v>939</v>
      </c>
      <c r="AI1216" s="60"/>
      <c r="AJ1216" s="133" t="s">
        <v>1608</v>
      </c>
      <c r="AK1216" s="73" t="s">
        <v>1414</v>
      </c>
      <c r="AL1216" s="3"/>
      <c r="AM1216" s="4"/>
      <c r="AN1216" s="5"/>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6"/>
      <c r="CO1216" s="7"/>
      <c r="CP1216" s="6"/>
      <c r="CQ1216" s="7"/>
      <c r="CR1216" s="6"/>
      <c r="CS1216" s="7"/>
      <c r="CT1216" s="8">
        <f t="shared" si="307"/>
        <v>0</v>
      </c>
      <c r="CU1216" s="9"/>
      <c r="CV1216" s="10"/>
      <c r="CW1216" s="11"/>
      <c r="CX1216" s="12"/>
      <c r="CY1216" s="26"/>
      <c r="CZ1216" s="12"/>
      <c r="DA1216" s="9"/>
      <c r="DB1216" s="10"/>
      <c r="DC1216" s="64"/>
      <c r="DD1216" s="22"/>
    </row>
    <row r="1217" spans="1:108" s="119" customFormat="1" ht="48" outlineLevel="2">
      <c r="A1217" s="178">
        <v>40338</v>
      </c>
      <c r="B1217" s="82" t="s">
        <v>956</v>
      </c>
      <c r="C1217" s="82" t="s">
        <v>881</v>
      </c>
      <c r="D1217" s="165" t="s">
        <v>435</v>
      </c>
      <c r="E1217" s="167"/>
      <c r="F1217" s="66"/>
      <c r="G1217" s="66"/>
      <c r="H1217" s="66">
        <v>124</v>
      </c>
      <c r="I1217" s="66">
        <v>22</v>
      </c>
      <c r="J1217" s="66"/>
      <c r="K1217" s="66">
        <v>22</v>
      </c>
      <c r="L1217" s="66"/>
      <c r="M1217" s="66"/>
      <c r="N1217" s="66"/>
      <c r="O1217" s="66"/>
      <c r="P1217" s="66"/>
      <c r="Q1217" s="66"/>
      <c r="R1217" s="66"/>
      <c r="S1217" s="66"/>
      <c r="T1217" s="67"/>
      <c r="U1217" s="151"/>
      <c r="V1217" s="1">
        <v>40366</v>
      </c>
      <c r="W1217" s="68">
        <f t="shared" si="302"/>
        <v>6935000</v>
      </c>
      <c r="X1217" s="68">
        <f t="shared" si="303"/>
        <v>0</v>
      </c>
      <c r="Y1217" s="68">
        <f t="shared" si="304"/>
        <v>14027700</v>
      </c>
      <c r="Z1217" s="68">
        <f t="shared" si="305"/>
        <v>0</v>
      </c>
      <c r="AA1217" s="68"/>
      <c r="AB1217" s="68">
        <v>0</v>
      </c>
      <c r="AC1217" s="69">
        <f t="shared" si="306"/>
        <v>20962700</v>
      </c>
      <c r="AD1217" s="70">
        <v>0</v>
      </c>
      <c r="AE1217" s="63">
        <v>40345</v>
      </c>
      <c r="AF1217" s="72">
        <v>98310</v>
      </c>
      <c r="AG1217" s="63" t="s">
        <v>954</v>
      </c>
      <c r="AH1217" s="23" t="s">
        <v>955</v>
      </c>
      <c r="AI1217" s="60">
        <v>192</v>
      </c>
      <c r="AJ1217" s="133" t="s">
        <v>415</v>
      </c>
      <c r="AK1217" s="73" t="s">
        <v>1241</v>
      </c>
      <c r="AL1217" s="3"/>
      <c r="AM1217" s="4"/>
      <c r="AN1217" s="5"/>
      <c r="AO1217" s="4"/>
      <c r="AP1217" s="4"/>
      <c r="AQ1217" s="4"/>
      <c r="AR1217" s="4"/>
      <c r="AS1217" s="4"/>
      <c r="AT1217" s="4"/>
      <c r="AU1217" s="4"/>
      <c r="AV1217" s="4"/>
      <c r="AW1217" s="4"/>
      <c r="AX1217" s="4">
        <v>73</v>
      </c>
      <c r="AY1217" s="4">
        <f>73*56000</f>
        <v>4088000</v>
      </c>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v>73</v>
      </c>
      <c r="CG1217" s="4">
        <f>73*18000</f>
        <v>1314000</v>
      </c>
      <c r="CH1217" s="4">
        <v>73</v>
      </c>
      <c r="CI1217" s="4">
        <f>73*21000</f>
        <v>1533000</v>
      </c>
      <c r="CJ1217" s="4"/>
      <c r="CK1217" s="4"/>
      <c r="CL1217" s="4"/>
      <c r="CM1217" s="4"/>
      <c r="CN1217" s="6"/>
      <c r="CO1217" s="7"/>
      <c r="CP1217" s="6"/>
      <c r="CQ1217" s="7"/>
      <c r="CR1217" s="6"/>
      <c r="CS1217" s="7"/>
      <c r="CT1217" s="8">
        <f t="shared" si="307"/>
        <v>6935000</v>
      </c>
      <c r="CU1217" s="9"/>
      <c r="CV1217" s="10"/>
      <c r="CW1217" s="11"/>
      <c r="CX1217" s="12"/>
      <c r="CY1217" s="26"/>
      <c r="CZ1217" s="12"/>
      <c r="DA1217" s="9">
        <v>570</v>
      </c>
      <c r="DB1217" s="10">
        <f>570*22000+4275*348</f>
        <v>14027700</v>
      </c>
      <c r="DC1217" s="64"/>
      <c r="DD1217" s="22" t="s">
        <v>1474</v>
      </c>
    </row>
    <row r="1218" spans="1:108" s="119" customFormat="1" ht="33" outlineLevel="2">
      <c r="A1218" s="178">
        <v>40338</v>
      </c>
      <c r="B1218" s="82" t="s">
        <v>956</v>
      </c>
      <c r="C1218" s="82" t="s">
        <v>2379</v>
      </c>
      <c r="D1218" s="165" t="s">
        <v>435</v>
      </c>
      <c r="E1218" s="167"/>
      <c r="F1218" s="66"/>
      <c r="G1218" s="66"/>
      <c r="H1218" s="66">
        <v>64</v>
      </c>
      <c r="I1218" s="66">
        <v>16</v>
      </c>
      <c r="J1218" s="66"/>
      <c r="K1218" s="66">
        <v>12</v>
      </c>
      <c r="L1218" s="66"/>
      <c r="M1218" s="66"/>
      <c r="N1218" s="66"/>
      <c r="O1218" s="66"/>
      <c r="P1218" s="66"/>
      <c r="Q1218" s="66"/>
      <c r="R1218" s="66"/>
      <c r="S1218" s="66"/>
      <c r="T1218" s="67"/>
      <c r="U1218" s="151" t="s">
        <v>1045</v>
      </c>
      <c r="V1218" s="1"/>
      <c r="W1218" s="68">
        <f t="shared" si="302"/>
        <v>0</v>
      </c>
      <c r="X1218" s="68">
        <f t="shared" si="303"/>
        <v>0</v>
      </c>
      <c r="Y1218" s="68">
        <f t="shared" si="304"/>
        <v>0</v>
      </c>
      <c r="Z1218" s="68">
        <f t="shared" si="305"/>
        <v>0</v>
      </c>
      <c r="AA1218" s="68"/>
      <c r="AB1218" s="68">
        <v>0</v>
      </c>
      <c r="AC1218" s="69">
        <f t="shared" si="306"/>
        <v>0</v>
      </c>
      <c r="AD1218" s="70">
        <v>0</v>
      </c>
      <c r="AE1218" s="63">
        <v>40344</v>
      </c>
      <c r="AF1218" s="72"/>
      <c r="AG1218" s="63" t="s">
        <v>938</v>
      </c>
      <c r="AH1218" s="23" t="s">
        <v>939</v>
      </c>
      <c r="AI1218" s="60"/>
      <c r="AJ1218" s="133" t="s">
        <v>1608</v>
      </c>
      <c r="AK1218" s="73" t="s">
        <v>1896</v>
      </c>
      <c r="AL1218" s="3"/>
      <c r="AM1218" s="4"/>
      <c r="AN1218" s="5"/>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6"/>
      <c r="CO1218" s="7"/>
      <c r="CP1218" s="6"/>
      <c r="CQ1218" s="7"/>
      <c r="CR1218" s="6"/>
      <c r="CS1218" s="7"/>
      <c r="CT1218" s="8">
        <f t="shared" si="307"/>
        <v>0</v>
      </c>
      <c r="CU1218" s="9"/>
      <c r="CV1218" s="10"/>
      <c r="CW1218" s="11"/>
      <c r="CX1218" s="12"/>
      <c r="CY1218" s="26"/>
      <c r="CZ1218" s="12"/>
      <c r="DA1218" s="9"/>
      <c r="DB1218" s="10"/>
      <c r="DC1218" s="64"/>
      <c r="DD1218" s="22"/>
    </row>
    <row r="1219" spans="1:108" s="119" customFormat="1" ht="48" outlineLevel="2">
      <c r="A1219" s="178">
        <v>40338</v>
      </c>
      <c r="B1219" s="82" t="s">
        <v>956</v>
      </c>
      <c r="C1219" s="82" t="s">
        <v>884</v>
      </c>
      <c r="D1219" s="165" t="s">
        <v>435</v>
      </c>
      <c r="E1219" s="167"/>
      <c r="F1219" s="66"/>
      <c r="G1219" s="66"/>
      <c r="H1219" s="66">
        <v>120</v>
      </c>
      <c r="I1219" s="66">
        <v>35</v>
      </c>
      <c r="J1219" s="66"/>
      <c r="K1219" s="66">
        <v>35</v>
      </c>
      <c r="L1219" s="66"/>
      <c r="M1219" s="66"/>
      <c r="N1219" s="66"/>
      <c r="O1219" s="66"/>
      <c r="P1219" s="66"/>
      <c r="Q1219" s="66"/>
      <c r="R1219" s="66">
        <v>2</v>
      </c>
      <c r="S1219" s="66"/>
      <c r="T1219" s="67"/>
      <c r="U1219" s="151"/>
      <c r="V1219" s="1">
        <v>40366</v>
      </c>
      <c r="W1219" s="68">
        <f t="shared" si="302"/>
        <v>0</v>
      </c>
      <c r="X1219" s="68">
        <f t="shared" si="303"/>
        <v>2550000</v>
      </c>
      <c r="Y1219" s="68">
        <f t="shared" si="304"/>
        <v>22152420</v>
      </c>
      <c r="Z1219" s="68">
        <f t="shared" si="305"/>
        <v>0</v>
      </c>
      <c r="AA1219" s="68"/>
      <c r="AB1219" s="68">
        <v>0</v>
      </c>
      <c r="AC1219" s="69">
        <f t="shared" si="306"/>
        <v>24702420</v>
      </c>
      <c r="AD1219" s="70">
        <v>0</v>
      </c>
      <c r="AE1219" s="63">
        <v>40335</v>
      </c>
      <c r="AF1219" s="72">
        <v>98310</v>
      </c>
      <c r="AG1219" s="63" t="s">
        <v>954</v>
      </c>
      <c r="AH1219" s="23" t="s">
        <v>955</v>
      </c>
      <c r="AI1219" s="60">
        <v>192</v>
      </c>
      <c r="AJ1219" s="133" t="s">
        <v>415</v>
      </c>
      <c r="AK1219" s="73" t="s">
        <v>1897</v>
      </c>
      <c r="AL1219" s="3"/>
      <c r="AM1219" s="4"/>
      <c r="AN1219" s="5"/>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6"/>
      <c r="CO1219" s="7"/>
      <c r="CP1219" s="6"/>
      <c r="CQ1219" s="7"/>
      <c r="CR1219" s="6"/>
      <c r="CS1219" s="7"/>
      <c r="CT1219" s="8">
        <f t="shared" si="307"/>
        <v>0</v>
      </c>
      <c r="CU1219" s="9"/>
      <c r="CV1219" s="10"/>
      <c r="CW1219" s="11">
        <v>30</v>
      </c>
      <c r="CX1219" s="12">
        <f>30*85000</f>
        <v>2550000</v>
      </c>
      <c r="CY1219" s="26"/>
      <c r="CZ1219" s="12"/>
      <c r="DA1219" s="9">
        <f>520+275</f>
        <v>795</v>
      </c>
      <c r="DB1219" s="10">
        <f>520*22000+275*34000+3915*348</f>
        <v>22152420</v>
      </c>
      <c r="DC1219" s="64"/>
      <c r="DD1219" s="22" t="s">
        <v>1475</v>
      </c>
    </row>
    <row r="1220" spans="1:108" s="119" customFormat="1" ht="36" outlineLevel="2">
      <c r="A1220" s="178">
        <v>40338</v>
      </c>
      <c r="B1220" s="82" t="s">
        <v>956</v>
      </c>
      <c r="C1220" s="82" t="s">
        <v>1052</v>
      </c>
      <c r="D1220" s="165" t="s">
        <v>435</v>
      </c>
      <c r="E1220" s="167"/>
      <c r="F1220" s="66"/>
      <c r="G1220" s="66"/>
      <c r="H1220" s="66">
        <v>164</v>
      </c>
      <c r="I1220" s="66">
        <v>41</v>
      </c>
      <c r="J1220" s="66"/>
      <c r="K1220" s="66">
        <v>27</v>
      </c>
      <c r="L1220" s="66"/>
      <c r="M1220" s="66"/>
      <c r="N1220" s="66"/>
      <c r="O1220" s="66"/>
      <c r="P1220" s="66"/>
      <c r="Q1220" s="66"/>
      <c r="R1220" s="66"/>
      <c r="S1220" s="66"/>
      <c r="T1220" s="67"/>
      <c r="U1220" s="151" t="s">
        <v>1044</v>
      </c>
      <c r="V1220" s="1"/>
      <c r="W1220" s="68">
        <f t="shared" si="302"/>
        <v>0</v>
      </c>
      <c r="X1220" s="68">
        <f t="shared" si="303"/>
        <v>0</v>
      </c>
      <c r="Y1220" s="68">
        <f t="shared" si="304"/>
        <v>0</v>
      </c>
      <c r="Z1220" s="68">
        <f t="shared" si="305"/>
        <v>0</v>
      </c>
      <c r="AA1220" s="68"/>
      <c r="AB1220" s="68">
        <v>0</v>
      </c>
      <c r="AC1220" s="69">
        <f t="shared" si="306"/>
        <v>0</v>
      </c>
      <c r="AD1220" s="70">
        <v>0</v>
      </c>
      <c r="AE1220" s="63">
        <v>40344</v>
      </c>
      <c r="AF1220" s="72"/>
      <c r="AG1220" s="63" t="s">
        <v>938</v>
      </c>
      <c r="AH1220" s="23" t="s">
        <v>939</v>
      </c>
      <c r="AI1220" s="60"/>
      <c r="AJ1220" s="133" t="s">
        <v>1608</v>
      </c>
      <c r="AK1220" s="73" t="s">
        <v>1043</v>
      </c>
      <c r="AL1220" s="3"/>
      <c r="AM1220" s="4"/>
      <c r="AN1220" s="5"/>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6"/>
      <c r="CO1220" s="7"/>
      <c r="CP1220" s="6"/>
      <c r="CQ1220" s="7"/>
      <c r="CR1220" s="6"/>
      <c r="CS1220" s="7"/>
      <c r="CT1220" s="8">
        <f t="shared" si="307"/>
        <v>0</v>
      </c>
      <c r="CU1220" s="9"/>
      <c r="CV1220" s="10"/>
      <c r="CW1220" s="11"/>
      <c r="CX1220" s="12"/>
      <c r="CY1220" s="26"/>
      <c r="CZ1220" s="12"/>
      <c r="DA1220" s="9"/>
      <c r="DB1220" s="10"/>
      <c r="DC1220" s="64"/>
      <c r="DD1220" s="22"/>
    </row>
    <row r="1221" spans="1:108" s="119" customFormat="1" outlineLevel="2">
      <c r="A1221" s="178">
        <v>40347</v>
      </c>
      <c r="B1221" s="82" t="s">
        <v>956</v>
      </c>
      <c r="C1221" s="82" t="s">
        <v>882</v>
      </c>
      <c r="D1221" s="165" t="s">
        <v>1262</v>
      </c>
      <c r="E1221" s="167"/>
      <c r="F1221" s="66"/>
      <c r="G1221" s="66"/>
      <c r="H1221" s="66">
        <v>15</v>
      </c>
      <c r="I1221" s="66">
        <v>3</v>
      </c>
      <c r="J1221" s="66"/>
      <c r="K1221" s="66">
        <v>3</v>
      </c>
      <c r="L1221" s="66"/>
      <c r="M1221" s="66"/>
      <c r="N1221" s="66"/>
      <c r="O1221" s="66"/>
      <c r="P1221" s="66"/>
      <c r="Q1221" s="66"/>
      <c r="R1221" s="66"/>
      <c r="S1221" s="66"/>
      <c r="T1221" s="67"/>
      <c r="U1221" s="151"/>
      <c r="V1221" s="1"/>
      <c r="W1221" s="68">
        <f t="shared" si="302"/>
        <v>0</v>
      </c>
      <c r="X1221" s="68">
        <f t="shared" si="303"/>
        <v>0</v>
      </c>
      <c r="Y1221" s="68">
        <f t="shared" si="304"/>
        <v>0</v>
      </c>
      <c r="Z1221" s="68">
        <f t="shared" si="305"/>
        <v>0</v>
      </c>
      <c r="AA1221" s="68"/>
      <c r="AB1221" s="68">
        <v>0</v>
      </c>
      <c r="AC1221" s="69">
        <f t="shared" si="306"/>
        <v>0</v>
      </c>
      <c r="AD1221" s="70">
        <v>0</v>
      </c>
      <c r="AE1221" s="63">
        <v>40357</v>
      </c>
      <c r="AF1221" s="72"/>
      <c r="AG1221" s="63" t="s">
        <v>938</v>
      </c>
      <c r="AH1221" s="23" t="s">
        <v>939</v>
      </c>
      <c r="AI1221" s="60"/>
      <c r="AJ1221" s="133" t="s">
        <v>1608</v>
      </c>
      <c r="AK1221" s="73" t="s">
        <v>1383</v>
      </c>
      <c r="AL1221" s="3"/>
      <c r="AM1221" s="4"/>
      <c r="AN1221" s="5"/>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6"/>
      <c r="CO1221" s="7"/>
      <c r="CP1221" s="6"/>
      <c r="CQ1221" s="7"/>
      <c r="CR1221" s="6"/>
      <c r="CS1221" s="7"/>
      <c r="CT1221" s="8">
        <f t="shared" si="307"/>
        <v>0</v>
      </c>
      <c r="CU1221" s="9"/>
      <c r="CV1221" s="10"/>
      <c r="CW1221" s="11"/>
      <c r="CX1221" s="12"/>
      <c r="CY1221" s="26"/>
      <c r="CZ1221" s="12"/>
      <c r="DA1221" s="9"/>
      <c r="DB1221" s="10"/>
      <c r="DC1221" s="64"/>
      <c r="DD1221" s="22"/>
    </row>
    <row r="1222" spans="1:108" s="119" customFormat="1" ht="24" outlineLevel="2">
      <c r="A1222" s="178">
        <v>40349</v>
      </c>
      <c r="B1222" s="82" t="s">
        <v>956</v>
      </c>
      <c r="C1222" s="82" t="s">
        <v>416</v>
      </c>
      <c r="D1222" s="165" t="s">
        <v>1262</v>
      </c>
      <c r="E1222" s="167"/>
      <c r="F1222" s="66"/>
      <c r="G1222" s="66"/>
      <c r="H1222" s="66"/>
      <c r="I1222" s="66"/>
      <c r="J1222" s="66"/>
      <c r="K1222" s="66"/>
      <c r="L1222" s="66"/>
      <c r="M1222" s="66"/>
      <c r="N1222" s="66"/>
      <c r="O1222" s="66">
        <v>1</v>
      </c>
      <c r="P1222" s="66"/>
      <c r="Q1222" s="66"/>
      <c r="R1222" s="66"/>
      <c r="S1222" s="66"/>
      <c r="T1222" s="67"/>
      <c r="U1222" s="151"/>
      <c r="V1222" s="1"/>
      <c r="W1222" s="68">
        <f t="shared" si="302"/>
        <v>0</v>
      </c>
      <c r="X1222" s="68">
        <f t="shared" si="303"/>
        <v>0</v>
      </c>
      <c r="Y1222" s="68">
        <f t="shared" si="304"/>
        <v>0</v>
      </c>
      <c r="Z1222" s="68">
        <f t="shared" si="305"/>
        <v>0</v>
      </c>
      <c r="AA1222" s="68"/>
      <c r="AB1222" s="68">
        <v>0</v>
      </c>
      <c r="AC1222" s="69">
        <f t="shared" si="306"/>
        <v>0</v>
      </c>
      <c r="AD1222" s="70">
        <v>0</v>
      </c>
      <c r="AE1222" s="63">
        <v>40350</v>
      </c>
      <c r="AF1222" s="72"/>
      <c r="AG1222" s="63" t="s">
        <v>938</v>
      </c>
      <c r="AH1222" s="23" t="s">
        <v>939</v>
      </c>
      <c r="AI1222" s="60"/>
      <c r="AJ1222" s="133" t="s">
        <v>1608</v>
      </c>
      <c r="AK1222" s="73" t="s">
        <v>1400</v>
      </c>
      <c r="AL1222" s="3"/>
      <c r="AM1222" s="4"/>
      <c r="AN1222" s="5"/>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6"/>
      <c r="CO1222" s="7"/>
      <c r="CP1222" s="6"/>
      <c r="CQ1222" s="7"/>
      <c r="CR1222" s="6"/>
      <c r="CS1222" s="7"/>
      <c r="CT1222" s="8">
        <f t="shared" si="307"/>
        <v>0</v>
      </c>
      <c r="CU1222" s="9"/>
      <c r="CV1222" s="10"/>
      <c r="CW1222" s="11"/>
      <c r="CX1222" s="12"/>
      <c r="CY1222" s="26"/>
      <c r="CZ1222" s="12"/>
      <c r="DA1222" s="9"/>
      <c r="DB1222" s="10"/>
      <c r="DC1222" s="64"/>
      <c r="DD1222" s="22"/>
    </row>
    <row r="1223" spans="1:108" s="119" customFormat="1" ht="22.5" outlineLevel="2">
      <c r="A1223" s="178">
        <v>40349</v>
      </c>
      <c r="B1223" s="82" t="s">
        <v>956</v>
      </c>
      <c r="C1223" s="82" t="s">
        <v>416</v>
      </c>
      <c r="D1223" s="165" t="s">
        <v>1262</v>
      </c>
      <c r="E1223" s="167"/>
      <c r="F1223" s="66"/>
      <c r="G1223" s="66"/>
      <c r="H1223" s="66">
        <v>16</v>
      </c>
      <c r="I1223" s="66">
        <v>3</v>
      </c>
      <c r="J1223" s="66"/>
      <c r="K1223" s="66">
        <v>3</v>
      </c>
      <c r="L1223" s="66"/>
      <c r="M1223" s="66"/>
      <c r="N1223" s="66"/>
      <c r="O1223" s="66"/>
      <c r="P1223" s="66"/>
      <c r="Q1223" s="66"/>
      <c r="R1223" s="66"/>
      <c r="S1223" s="66"/>
      <c r="T1223" s="67"/>
      <c r="U1223" s="151"/>
      <c r="V1223" s="1"/>
      <c r="W1223" s="68">
        <f t="shared" si="302"/>
        <v>0</v>
      </c>
      <c r="X1223" s="68">
        <f t="shared" si="303"/>
        <v>0</v>
      </c>
      <c r="Y1223" s="68">
        <f t="shared" si="304"/>
        <v>0</v>
      </c>
      <c r="Z1223" s="68">
        <f t="shared" si="305"/>
        <v>0</v>
      </c>
      <c r="AA1223" s="68"/>
      <c r="AB1223" s="68">
        <v>0</v>
      </c>
      <c r="AC1223" s="69">
        <f t="shared" si="306"/>
        <v>0</v>
      </c>
      <c r="AD1223" s="70">
        <v>0</v>
      </c>
      <c r="AE1223" s="63">
        <v>40350</v>
      </c>
      <c r="AF1223" s="72"/>
      <c r="AG1223" s="63" t="s">
        <v>938</v>
      </c>
      <c r="AH1223" s="23" t="s">
        <v>939</v>
      </c>
      <c r="AI1223" s="60"/>
      <c r="AJ1223" s="133" t="s">
        <v>1608</v>
      </c>
      <c r="AK1223" s="73" t="s">
        <v>1401</v>
      </c>
      <c r="AL1223" s="3"/>
      <c r="AM1223" s="4"/>
      <c r="AN1223" s="5"/>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6"/>
      <c r="CO1223" s="7"/>
      <c r="CP1223" s="6"/>
      <c r="CQ1223" s="7"/>
      <c r="CR1223" s="6"/>
      <c r="CS1223" s="7"/>
      <c r="CT1223" s="8">
        <f t="shared" si="307"/>
        <v>0</v>
      </c>
      <c r="CU1223" s="9"/>
      <c r="CV1223" s="10"/>
      <c r="CW1223" s="11"/>
      <c r="CX1223" s="12"/>
      <c r="CY1223" s="26"/>
      <c r="CZ1223" s="12"/>
      <c r="DA1223" s="9"/>
      <c r="DB1223" s="10"/>
      <c r="DC1223" s="64"/>
      <c r="DD1223" s="22"/>
    </row>
    <row r="1224" spans="1:108" s="119" customFormat="1" ht="48" outlineLevel="2">
      <c r="A1224" s="178">
        <v>40356</v>
      </c>
      <c r="B1224" s="82" t="s">
        <v>956</v>
      </c>
      <c r="C1224" s="82" t="s">
        <v>1052</v>
      </c>
      <c r="D1224" s="165" t="s">
        <v>1262</v>
      </c>
      <c r="E1224" s="167"/>
      <c r="F1224" s="66"/>
      <c r="G1224" s="66"/>
      <c r="H1224" s="66">
        <v>44</v>
      </c>
      <c r="I1224" s="66">
        <v>11</v>
      </c>
      <c r="J1224" s="66"/>
      <c r="K1224" s="66">
        <v>11</v>
      </c>
      <c r="L1224" s="66">
        <v>1</v>
      </c>
      <c r="M1224" s="66"/>
      <c r="N1224" s="66"/>
      <c r="O1224" s="66"/>
      <c r="P1224" s="66"/>
      <c r="Q1224" s="66"/>
      <c r="R1224" s="66"/>
      <c r="S1224" s="66"/>
      <c r="T1224" s="67"/>
      <c r="U1224" s="151"/>
      <c r="V1224" s="1"/>
      <c r="W1224" s="68">
        <f t="shared" si="302"/>
        <v>0</v>
      </c>
      <c r="X1224" s="68">
        <f t="shared" si="303"/>
        <v>0</v>
      </c>
      <c r="Y1224" s="68">
        <f t="shared" si="304"/>
        <v>0</v>
      </c>
      <c r="Z1224" s="68">
        <f t="shared" si="305"/>
        <v>0</v>
      </c>
      <c r="AA1224" s="68"/>
      <c r="AB1224" s="68">
        <v>0</v>
      </c>
      <c r="AC1224" s="69">
        <f t="shared" si="306"/>
        <v>0</v>
      </c>
      <c r="AD1224" s="70">
        <v>0</v>
      </c>
      <c r="AE1224" s="63">
        <v>40358</v>
      </c>
      <c r="AF1224" s="72"/>
      <c r="AG1224" s="63" t="s">
        <v>938</v>
      </c>
      <c r="AH1224" s="23" t="s">
        <v>939</v>
      </c>
      <c r="AI1224" s="60"/>
      <c r="AJ1224" s="133" t="s">
        <v>1608</v>
      </c>
      <c r="AK1224" s="73" t="s">
        <v>978</v>
      </c>
      <c r="AL1224" s="3"/>
      <c r="AM1224" s="4"/>
      <c r="AN1224" s="5"/>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6"/>
      <c r="CO1224" s="7"/>
      <c r="CP1224" s="6"/>
      <c r="CQ1224" s="7"/>
      <c r="CR1224" s="6"/>
      <c r="CS1224" s="7"/>
      <c r="CT1224" s="8">
        <f t="shared" si="307"/>
        <v>0</v>
      </c>
      <c r="CU1224" s="9"/>
      <c r="CV1224" s="10"/>
      <c r="CW1224" s="11"/>
      <c r="CX1224" s="12"/>
      <c r="CY1224" s="26"/>
      <c r="CZ1224" s="12"/>
      <c r="DA1224" s="9"/>
      <c r="DB1224" s="10"/>
      <c r="DC1224" s="64"/>
      <c r="DD1224" s="22"/>
    </row>
    <row r="1225" spans="1:108" s="119" customFormat="1" outlineLevel="2">
      <c r="A1225" s="178">
        <v>40370</v>
      </c>
      <c r="B1225" s="82" t="s">
        <v>956</v>
      </c>
      <c r="C1225" s="82" t="s">
        <v>584</v>
      </c>
      <c r="D1225" s="165" t="s">
        <v>435</v>
      </c>
      <c r="E1225" s="167"/>
      <c r="F1225" s="66"/>
      <c r="G1225" s="66"/>
      <c r="H1225" s="66">
        <v>35</v>
      </c>
      <c r="I1225" s="66">
        <v>7</v>
      </c>
      <c r="J1225" s="66"/>
      <c r="K1225" s="66">
        <v>7</v>
      </c>
      <c r="L1225" s="66"/>
      <c r="M1225" s="66"/>
      <c r="N1225" s="66"/>
      <c r="O1225" s="66"/>
      <c r="P1225" s="66"/>
      <c r="Q1225" s="66"/>
      <c r="R1225" s="66"/>
      <c r="S1225" s="66"/>
      <c r="T1225" s="67"/>
      <c r="U1225" s="151"/>
      <c r="V1225" s="1"/>
      <c r="W1225" s="68">
        <f t="shared" si="302"/>
        <v>0</v>
      </c>
      <c r="X1225" s="68">
        <f t="shared" si="303"/>
        <v>0</v>
      </c>
      <c r="Y1225" s="68">
        <f t="shared" si="304"/>
        <v>0</v>
      </c>
      <c r="Z1225" s="68">
        <f t="shared" si="305"/>
        <v>0</v>
      </c>
      <c r="AA1225" s="68"/>
      <c r="AB1225" s="68">
        <v>0</v>
      </c>
      <c r="AC1225" s="69">
        <f t="shared" si="306"/>
        <v>0</v>
      </c>
      <c r="AD1225" s="70">
        <v>0</v>
      </c>
      <c r="AE1225" s="63">
        <v>40371</v>
      </c>
      <c r="AF1225" s="72"/>
      <c r="AG1225" s="63" t="s">
        <v>938</v>
      </c>
      <c r="AH1225" s="23" t="s">
        <v>939</v>
      </c>
      <c r="AI1225" s="60"/>
      <c r="AJ1225" s="133" t="s">
        <v>1608</v>
      </c>
      <c r="AK1225" s="73" t="s">
        <v>1075</v>
      </c>
      <c r="AL1225" s="3"/>
      <c r="AM1225" s="4"/>
      <c r="AN1225" s="5"/>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6"/>
      <c r="CO1225" s="7"/>
      <c r="CP1225" s="6"/>
      <c r="CQ1225" s="7"/>
      <c r="CR1225" s="6"/>
      <c r="CS1225" s="7"/>
      <c r="CT1225" s="8">
        <f t="shared" si="307"/>
        <v>0</v>
      </c>
      <c r="CU1225" s="9"/>
      <c r="CV1225" s="10"/>
      <c r="CW1225" s="11"/>
      <c r="CX1225" s="12"/>
      <c r="CY1225" s="26"/>
      <c r="CZ1225" s="12"/>
      <c r="DA1225" s="9"/>
      <c r="DB1225" s="10"/>
      <c r="DC1225" s="64"/>
      <c r="DD1225" s="22"/>
    </row>
    <row r="1226" spans="1:108" s="119" customFormat="1" outlineLevel="2">
      <c r="A1226" s="178">
        <v>40372</v>
      </c>
      <c r="B1226" s="82" t="s">
        <v>956</v>
      </c>
      <c r="C1226" s="82" t="s">
        <v>881</v>
      </c>
      <c r="D1226" s="165" t="s">
        <v>1182</v>
      </c>
      <c r="E1226" s="167"/>
      <c r="F1226" s="66"/>
      <c r="G1226" s="66"/>
      <c r="H1226" s="66">
        <v>5</v>
      </c>
      <c r="I1226" s="66">
        <v>1</v>
      </c>
      <c r="J1226" s="66"/>
      <c r="K1226" s="66">
        <v>1</v>
      </c>
      <c r="L1226" s="66"/>
      <c r="M1226" s="66"/>
      <c r="N1226" s="66"/>
      <c r="O1226" s="66"/>
      <c r="P1226" s="66"/>
      <c r="Q1226" s="66"/>
      <c r="R1226" s="66"/>
      <c r="S1226" s="66"/>
      <c r="T1226" s="67"/>
      <c r="U1226" s="151"/>
      <c r="V1226" s="1"/>
      <c r="W1226" s="68">
        <f t="shared" si="302"/>
        <v>0</v>
      </c>
      <c r="X1226" s="68">
        <f t="shared" si="303"/>
        <v>0</v>
      </c>
      <c r="Y1226" s="68">
        <f t="shared" si="304"/>
        <v>0</v>
      </c>
      <c r="Z1226" s="68">
        <f t="shared" si="305"/>
        <v>0</v>
      </c>
      <c r="AA1226" s="68"/>
      <c r="AB1226" s="68">
        <v>0</v>
      </c>
      <c r="AC1226" s="69">
        <f t="shared" si="306"/>
        <v>0</v>
      </c>
      <c r="AD1226" s="70">
        <v>0</v>
      </c>
      <c r="AE1226" s="63">
        <v>40372</v>
      </c>
      <c r="AF1226" s="72"/>
      <c r="AG1226" s="63" t="s">
        <v>938</v>
      </c>
      <c r="AH1226" s="23" t="s">
        <v>939</v>
      </c>
      <c r="AI1226" s="60"/>
      <c r="AJ1226" s="133" t="s">
        <v>1608</v>
      </c>
      <c r="AK1226" s="73" t="s">
        <v>1494</v>
      </c>
      <c r="AL1226" s="3"/>
      <c r="AM1226" s="4"/>
      <c r="AN1226" s="5"/>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6"/>
      <c r="CO1226" s="7"/>
      <c r="CP1226" s="6"/>
      <c r="CQ1226" s="7"/>
      <c r="CR1226" s="6"/>
      <c r="CS1226" s="7"/>
      <c r="CT1226" s="8">
        <f t="shared" si="307"/>
        <v>0</v>
      </c>
      <c r="CU1226" s="9"/>
      <c r="CV1226" s="10"/>
      <c r="CW1226" s="11"/>
      <c r="CX1226" s="12"/>
      <c r="CY1226" s="26"/>
      <c r="CZ1226" s="12"/>
      <c r="DA1226" s="9"/>
      <c r="DB1226" s="10"/>
      <c r="DC1226" s="64"/>
      <c r="DD1226" s="22"/>
    </row>
    <row r="1227" spans="1:108" s="119" customFormat="1" ht="36" outlineLevel="2">
      <c r="A1227" s="178">
        <v>40373</v>
      </c>
      <c r="B1227" s="82" t="s">
        <v>956</v>
      </c>
      <c r="C1227" s="82" t="s">
        <v>1157</v>
      </c>
      <c r="D1227" s="165" t="s">
        <v>1262</v>
      </c>
      <c r="E1227" s="167"/>
      <c r="F1227" s="66"/>
      <c r="G1227" s="66"/>
      <c r="H1227" s="66">
        <v>14</v>
      </c>
      <c r="I1227" s="66">
        <v>2</v>
      </c>
      <c r="J1227" s="66">
        <v>1</v>
      </c>
      <c r="K1227" s="66">
        <v>1</v>
      </c>
      <c r="L1227" s="66"/>
      <c r="M1227" s="66"/>
      <c r="N1227" s="66"/>
      <c r="O1227" s="66">
        <v>1</v>
      </c>
      <c r="P1227" s="66"/>
      <c r="Q1227" s="66"/>
      <c r="R1227" s="66"/>
      <c r="S1227" s="66"/>
      <c r="T1227" s="67"/>
      <c r="U1227" s="151"/>
      <c r="V1227" s="1"/>
      <c r="W1227" s="68">
        <f t="shared" si="302"/>
        <v>0</v>
      </c>
      <c r="X1227" s="68">
        <f t="shared" si="303"/>
        <v>0</v>
      </c>
      <c r="Y1227" s="68">
        <f t="shared" si="304"/>
        <v>0</v>
      </c>
      <c r="Z1227" s="68">
        <f t="shared" si="305"/>
        <v>0</v>
      </c>
      <c r="AA1227" s="68"/>
      <c r="AB1227" s="68">
        <v>0</v>
      </c>
      <c r="AC1227" s="69">
        <f t="shared" si="306"/>
        <v>0</v>
      </c>
      <c r="AD1227" s="70">
        <v>0</v>
      </c>
      <c r="AE1227" s="63">
        <v>40375</v>
      </c>
      <c r="AF1227" s="72"/>
      <c r="AG1227" s="63" t="s">
        <v>938</v>
      </c>
      <c r="AH1227" s="23" t="s">
        <v>939</v>
      </c>
      <c r="AI1227" s="60"/>
      <c r="AJ1227" s="133" t="s">
        <v>1608</v>
      </c>
      <c r="AK1227" s="73" t="s">
        <v>1418</v>
      </c>
      <c r="AL1227" s="3"/>
      <c r="AM1227" s="4"/>
      <c r="AN1227" s="5"/>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6"/>
      <c r="CO1227" s="7"/>
      <c r="CP1227" s="6"/>
      <c r="CQ1227" s="7"/>
      <c r="CR1227" s="6"/>
      <c r="CS1227" s="7"/>
      <c r="CT1227" s="8">
        <f t="shared" si="307"/>
        <v>0</v>
      </c>
      <c r="CU1227" s="9"/>
      <c r="CV1227" s="10"/>
      <c r="CW1227" s="11"/>
      <c r="CX1227" s="12"/>
      <c r="CY1227" s="26"/>
      <c r="CZ1227" s="12"/>
      <c r="DA1227" s="9"/>
      <c r="DB1227" s="10"/>
      <c r="DC1227" s="64"/>
      <c r="DD1227" s="22"/>
    </row>
    <row r="1228" spans="1:108" s="119" customFormat="1" ht="60" outlineLevel="2">
      <c r="A1228" s="178">
        <v>40373</v>
      </c>
      <c r="B1228" s="82" t="s">
        <v>956</v>
      </c>
      <c r="C1228" s="82" t="s">
        <v>1496</v>
      </c>
      <c r="D1228" s="165" t="s">
        <v>1182</v>
      </c>
      <c r="E1228" s="167"/>
      <c r="F1228" s="66"/>
      <c r="G1228" s="66"/>
      <c r="H1228" s="66">
        <v>50</v>
      </c>
      <c r="I1228" s="66">
        <v>10</v>
      </c>
      <c r="J1228" s="66">
        <v>2</v>
      </c>
      <c r="K1228" s="66">
        <v>8</v>
      </c>
      <c r="L1228" s="66"/>
      <c r="M1228" s="66"/>
      <c r="N1228" s="66"/>
      <c r="O1228" s="66"/>
      <c r="P1228" s="66"/>
      <c r="Q1228" s="66"/>
      <c r="R1228" s="66"/>
      <c r="S1228" s="66"/>
      <c r="T1228" s="67"/>
      <c r="U1228" s="151" t="s">
        <v>1498</v>
      </c>
      <c r="V1228" s="1"/>
      <c r="W1228" s="68">
        <f t="shared" si="302"/>
        <v>0</v>
      </c>
      <c r="X1228" s="68">
        <f t="shared" si="303"/>
        <v>0</v>
      </c>
      <c r="Y1228" s="68">
        <f t="shared" si="304"/>
        <v>0</v>
      </c>
      <c r="Z1228" s="68">
        <f t="shared" si="305"/>
        <v>0</v>
      </c>
      <c r="AA1228" s="68"/>
      <c r="AB1228" s="68">
        <v>0</v>
      </c>
      <c r="AC1228" s="69">
        <f t="shared" si="306"/>
        <v>0</v>
      </c>
      <c r="AD1228" s="70">
        <v>0</v>
      </c>
      <c r="AE1228" s="63">
        <v>40373</v>
      </c>
      <c r="AF1228" s="72"/>
      <c r="AG1228" s="63" t="s">
        <v>938</v>
      </c>
      <c r="AH1228" s="23" t="s">
        <v>939</v>
      </c>
      <c r="AI1228" s="60"/>
      <c r="AJ1228" s="133" t="s">
        <v>1608</v>
      </c>
      <c r="AK1228" s="73" t="s">
        <v>1497</v>
      </c>
      <c r="AL1228" s="3"/>
      <c r="AM1228" s="4"/>
      <c r="AN1228" s="5"/>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6"/>
      <c r="CO1228" s="7"/>
      <c r="CP1228" s="6"/>
      <c r="CQ1228" s="7"/>
      <c r="CR1228" s="6"/>
      <c r="CS1228" s="7"/>
      <c r="CT1228" s="8">
        <f t="shared" si="307"/>
        <v>0</v>
      </c>
      <c r="CU1228" s="9"/>
      <c r="CV1228" s="10"/>
      <c r="CW1228" s="11"/>
      <c r="CX1228" s="12"/>
      <c r="CY1228" s="26"/>
      <c r="CZ1228" s="12"/>
      <c r="DA1228" s="9"/>
      <c r="DB1228" s="10"/>
      <c r="DC1228" s="64"/>
      <c r="DD1228" s="22"/>
    </row>
    <row r="1229" spans="1:108" s="119" customFormat="1" ht="24" outlineLevel="2">
      <c r="A1229" s="178">
        <v>40373</v>
      </c>
      <c r="B1229" s="82" t="s">
        <v>956</v>
      </c>
      <c r="C1229" s="82" t="s">
        <v>584</v>
      </c>
      <c r="D1229" s="165" t="s">
        <v>1182</v>
      </c>
      <c r="E1229" s="167"/>
      <c r="F1229" s="66"/>
      <c r="G1229" s="66"/>
      <c r="H1229" s="66">
        <v>10</v>
      </c>
      <c r="I1229" s="66">
        <v>2</v>
      </c>
      <c r="J1229" s="66">
        <v>1</v>
      </c>
      <c r="K1229" s="66">
        <v>1</v>
      </c>
      <c r="L1229" s="66"/>
      <c r="M1229" s="66"/>
      <c r="N1229" s="66"/>
      <c r="O1229" s="66"/>
      <c r="P1229" s="66"/>
      <c r="Q1229" s="66"/>
      <c r="R1229" s="66"/>
      <c r="S1229" s="66"/>
      <c r="T1229" s="67"/>
      <c r="U1229" s="151"/>
      <c r="V1229" s="1"/>
      <c r="W1229" s="68">
        <f t="shared" si="302"/>
        <v>0</v>
      </c>
      <c r="X1229" s="68">
        <f t="shared" si="303"/>
        <v>0</v>
      </c>
      <c r="Y1229" s="68">
        <f t="shared" si="304"/>
        <v>0</v>
      </c>
      <c r="Z1229" s="68">
        <f t="shared" si="305"/>
        <v>0</v>
      </c>
      <c r="AA1229" s="68"/>
      <c r="AB1229" s="68">
        <v>0</v>
      </c>
      <c r="AC1229" s="69">
        <f t="shared" si="306"/>
        <v>0</v>
      </c>
      <c r="AD1229" s="70">
        <v>0</v>
      </c>
      <c r="AE1229" s="63">
        <v>40375</v>
      </c>
      <c r="AF1229" s="72"/>
      <c r="AG1229" s="63" t="s">
        <v>938</v>
      </c>
      <c r="AH1229" s="23" t="s">
        <v>939</v>
      </c>
      <c r="AI1229" s="60"/>
      <c r="AJ1229" s="133" t="s">
        <v>1608</v>
      </c>
      <c r="AK1229" s="73" t="s">
        <v>1419</v>
      </c>
      <c r="AL1229" s="3"/>
      <c r="AM1229" s="4"/>
      <c r="AN1229" s="5"/>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6"/>
      <c r="CO1229" s="7"/>
      <c r="CP1229" s="6"/>
      <c r="CQ1229" s="7"/>
      <c r="CR1229" s="6"/>
      <c r="CS1229" s="7"/>
      <c r="CT1229" s="8">
        <f t="shared" si="307"/>
        <v>0</v>
      </c>
      <c r="CU1229" s="9"/>
      <c r="CV1229" s="10"/>
      <c r="CW1229" s="11"/>
      <c r="CX1229" s="12"/>
      <c r="CY1229" s="26"/>
      <c r="CZ1229" s="12"/>
      <c r="DA1229" s="9"/>
      <c r="DB1229" s="10"/>
      <c r="DC1229" s="64"/>
      <c r="DD1229" s="22"/>
    </row>
    <row r="1230" spans="1:108" s="119" customFormat="1" ht="24" outlineLevel="2">
      <c r="A1230" s="178">
        <v>40374</v>
      </c>
      <c r="B1230" s="82" t="s">
        <v>956</v>
      </c>
      <c r="C1230" s="82" t="s">
        <v>1157</v>
      </c>
      <c r="D1230" s="165" t="s">
        <v>1182</v>
      </c>
      <c r="E1230" s="167"/>
      <c r="F1230" s="66"/>
      <c r="G1230" s="66"/>
      <c r="H1230" s="66">
        <v>10</v>
      </c>
      <c r="I1230" s="66">
        <v>3</v>
      </c>
      <c r="J1230" s="66"/>
      <c r="K1230" s="66">
        <v>3</v>
      </c>
      <c r="L1230" s="66"/>
      <c r="M1230" s="66"/>
      <c r="N1230" s="66"/>
      <c r="O1230" s="66"/>
      <c r="P1230" s="66"/>
      <c r="Q1230" s="66"/>
      <c r="R1230" s="66"/>
      <c r="S1230" s="66"/>
      <c r="T1230" s="67"/>
      <c r="U1230" s="151"/>
      <c r="V1230" s="1"/>
      <c r="W1230" s="68">
        <f t="shared" si="302"/>
        <v>0</v>
      </c>
      <c r="X1230" s="68">
        <f t="shared" si="303"/>
        <v>0</v>
      </c>
      <c r="Y1230" s="68">
        <f t="shared" si="304"/>
        <v>0</v>
      </c>
      <c r="Z1230" s="68">
        <f t="shared" si="305"/>
        <v>0</v>
      </c>
      <c r="AA1230" s="68"/>
      <c r="AB1230" s="68">
        <v>0</v>
      </c>
      <c r="AC1230" s="69">
        <f t="shared" si="306"/>
        <v>0</v>
      </c>
      <c r="AD1230" s="70">
        <v>0</v>
      </c>
      <c r="AE1230" s="63">
        <v>40375</v>
      </c>
      <c r="AF1230" s="72"/>
      <c r="AG1230" s="63" t="s">
        <v>938</v>
      </c>
      <c r="AH1230" s="23" t="s">
        <v>939</v>
      </c>
      <c r="AI1230" s="60"/>
      <c r="AJ1230" s="133" t="s">
        <v>1608</v>
      </c>
      <c r="AK1230" s="73" t="s">
        <v>1424</v>
      </c>
      <c r="AL1230" s="3"/>
      <c r="AM1230" s="4"/>
      <c r="AN1230" s="5"/>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6"/>
      <c r="CO1230" s="7"/>
      <c r="CP1230" s="6"/>
      <c r="CQ1230" s="7"/>
      <c r="CR1230" s="6"/>
      <c r="CS1230" s="7"/>
      <c r="CT1230" s="8">
        <f t="shared" si="307"/>
        <v>0</v>
      </c>
      <c r="CU1230" s="9"/>
      <c r="CV1230" s="10"/>
      <c r="CW1230" s="11"/>
      <c r="CX1230" s="12"/>
      <c r="CY1230" s="26"/>
      <c r="CZ1230" s="12"/>
      <c r="DA1230" s="9"/>
      <c r="DB1230" s="10"/>
      <c r="DC1230" s="64"/>
      <c r="DD1230" s="22"/>
    </row>
    <row r="1231" spans="1:108" s="119" customFormat="1" ht="22.5" outlineLevel="2">
      <c r="A1231" s="178">
        <v>40375</v>
      </c>
      <c r="B1231" s="82" t="s">
        <v>956</v>
      </c>
      <c r="C1231" s="82" t="s">
        <v>416</v>
      </c>
      <c r="D1231" s="165" t="s">
        <v>1182</v>
      </c>
      <c r="E1231" s="167"/>
      <c r="F1231" s="66"/>
      <c r="G1231" s="66"/>
      <c r="H1231" s="66">
        <v>5</v>
      </c>
      <c r="I1231" s="66">
        <v>1</v>
      </c>
      <c r="J1231" s="66">
        <v>1</v>
      </c>
      <c r="K1231" s="66"/>
      <c r="L1231" s="66"/>
      <c r="M1231" s="66"/>
      <c r="N1231" s="66"/>
      <c r="O1231" s="66"/>
      <c r="P1231" s="66"/>
      <c r="Q1231" s="66"/>
      <c r="R1231" s="66"/>
      <c r="S1231" s="66"/>
      <c r="T1231" s="67"/>
      <c r="U1231" s="151"/>
      <c r="V1231" s="1"/>
      <c r="W1231" s="68">
        <f t="shared" si="302"/>
        <v>0</v>
      </c>
      <c r="X1231" s="68">
        <f t="shared" si="303"/>
        <v>0</v>
      </c>
      <c r="Y1231" s="68">
        <f t="shared" si="304"/>
        <v>0</v>
      </c>
      <c r="Z1231" s="68">
        <f t="shared" si="305"/>
        <v>0</v>
      </c>
      <c r="AA1231" s="68"/>
      <c r="AB1231" s="68">
        <v>0</v>
      </c>
      <c r="AC1231" s="69">
        <f t="shared" si="306"/>
        <v>0</v>
      </c>
      <c r="AD1231" s="70">
        <v>0</v>
      </c>
      <c r="AE1231" s="63">
        <v>40375</v>
      </c>
      <c r="AF1231" s="72"/>
      <c r="AG1231" s="63" t="s">
        <v>938</v>
      </c>
      <c r="AH1231" s="23" t="s">
        <v>939</v>
      </c>
      <c r="AI1231" s="60"/>
      <c r="AJ1231" s="133" t="s">
        <v>1608</v>
      </c>
      <c r="AK1231" s="73" t="s">
        <v>1495</v>
      </c>
      <c r="AL1231" s="3"/>
      <c r="AM1231" s="4"/>
      <c r="AN1231" s="5"/>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6"/>
      <c r="CO1231" s="7"/>
      <c r="CP1231" s="6"/>
      <c r="CQ1231" s="7"/>
      <c r="CR1231" s="6"/>
      <c r="CS1231" s="7"/>
      <c r="CT1231" s="8">
        <f t="shared" si="307"/>
        <v>0</v>
      </c>
      <c r="CU1231" s="9"/>
      <c r="CV1231" s="10"/>
      <c r="CW1231" s="11"/>
      <c r="CX1231" s="12"/>
      <c r="CY1231" s="26"/>
      <c r="CZ1231" s="12"/>
      <c r="DA1231" s="9"/>
      <c r="DB1231" s="10"/>
      <c r="DC1231" s="64"/>
      <c r="DD1231" s="22"/>
    </row>
    <row r="1232" spans="1:108" s="119" customFormat="1" outlineLevel="2">
      <c r="A1232" s="178">
        <v>40376</v>
      </c>
      <c r="B1232" s="82" t="s">
        <v>956</v>
      </c>
      <c r="C1232" s="82" t="s">
        <v>425</v>
      </c>
      <c r="D1232" s="165" t="s">
        <v>435</v>
      </c>
      <c r="E1232" s="167"/>
      <c r="F1232" s="66"/>
      <c r="G1232" s="66"/>
      <c r="H1232" s="66">
        <v>20</v>
      </c>
      <c r="I1232" s="66">
        <v>4</v>
      </c>
      <c r="J1232" s="66"/>
      <c r="K1232" s="66">
        <v>4</v>
      </c>
      <c r="L1232" s="66"/>
      <c r="M1232" s="66"/>
      <c r="N1232" s="66"/>
      <c r="O1232" s="66"/>
      <c r="P1232" s="66"/>
      <c r="Q1232" s="66"/>
      <c r="R1232" s="66"/>
      <c r="S1232" s="66"/>
      <c r="T1232" s="67"/>
      <c r="U1232" s="151"/>
      <c r="V1232" s="1"/>
      <c r="W1232" s="68">
        <f t="shared" si="302"/>
        <v>0</v>
      </c>
      <c r="X1232" s="68">
        <f t="shared" si="303"/>
        <v>0</v>
      </c>
      <c r="Y1232" s="68">
        <f t="shared" si="304"/>
        <v>0</v>
      </c>
      <c r="Z1232" s="68">
        <f t="shared" si="305"/>
        <v>0</v>
      </c>
      <c r="AA1232" s="68"/>
      <c r="AB1232" s="68">
        <v>0</v>
      </c>
      <c r="AC1232" s="69">
        <f t="shared" si="306"/>
        <v>0</v>
      </c>
      <c r="AD1232" s="70">
        <v>0</v>
      </c>
      <c r="AE1232" s="63">
        <v>40376</v>
      </c>
      <c r="AF1232" s="72"/>
      <c r="AG1232" s="63" t="s">
        <v>938</v>
      </c>
      <c r="AH1232" s="23" t="s">
        <v>939</v>
      </c>
      <c r="AI1232" s="60"/>
      <c r="AJ1232" s="133" t="s">
        <v>1608</v>
      </c>
      <c r="AK1232" s="73" t="s">
        <v>1500</v>
      </c>
      <c r="AL1232" s="3"/>
      <c r="AM1232" s="4"/>
      <c r="AN1232" s="5"/>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6"/>
      <c r="CO1232" s="7"/>
      <c r="CP1232" s="6"/>
      <c r="CQ1232" s="7"/>
      <c r="CR1232" s="6"/>
      <c r="CS1232" s="7"/>
      <c r="CT1232" s="8">
        <f t="shared" si="307"/>
        <v>0</v>
      </c>
      <c r="CU1232" s="9"/>
      <c r="CV1232" s="10"/>
      <c r="CW1232" s="11"/>
      <c r="CX1232" s="12"/>
      <c r="CY1232" s="26"/>
      <c r="CZ1232" s="12"/>
      <c r="DA1232" s="9"/>
      <c r="DB1232" s="10"/>
      <c r="DC1232" s="64"/>
      <c r="DD1232" s="22"/>
    </row>
    <row r="1233" spans="1:108" s="119" customFormat="1" ht="24" outlineLevel="2">
      <c r="A1233" s="178">
        <v>40391</v>
      </c>
      <c r="B1233" s="82" t="s">
        <v>956</v>
      </c>
      <c r="C1233" s="82" t="s">
        <v>1157</v>
      </c>
      <c r="D1233" s="165" t="s">
        <v>1182</v>
      </c>
      <c r="E1233" s="167"/>
      <c r="F1233" s="66"/>
      <c r="G1233" s="66"/>
      <c r="H1233" s="66">
        <v>10</v>
      </c>
      <c r="I1233" s="66">
        <v>2</v>
      </c>
      <c r="J1233" s="66">
        <v>2</v>
      </c>
      <c r="K1233" s="66"/>
      <c r="L1233" s="66"/>
      <c r="M1233" s="66"/>
      <c r="N1233" s="66"/>
      <c r="O1233" s="66"/>
      <c r="P1233" s="66"/>
      <c r="Q1233" s="66"/>
      <c r="R1233" s="66"/>
      <c r="S1233" s="66"/>
      <c r="T1233" s="67"/>
      <c r="U1233" s="151"/>
      <c r="V1233" s="1"/>
      <c r="W1233" s="68">
        <f t="shared" si="302"/>
        <v>0</v>
      </c>
      <c r="X1233" s="68">
        <f t="shared" si="303"/>
        <v>0</v>
      </c>
      <c r="Y1233" s="68">
        <f t="shared" si="304"/>
        <v>0</v>
      </c>
      <c r="Z1233" s="68">
        <f t="shared" si="305"/>
        <v>0</v>
      </c>
      <c r="AA1233" s="68"/>
      <c r="AB1233" s="68">
        <v>0</v>
      </c>
      <c r="AC1233" s="69">
        <f t="shared" si="306"/>
        <v>0</v>
      </c>
      <c r="AD1233" s="70">
        <v>0</v>
      </c>
      <c r="AE1233" s="63">
        <v>40391</v>
      </c>
      <c r="AF1233" s="72"/>
      <c r="AG1233" s="63" t="s">
        <v>938</v>
      </c>
      <c r="AH1233" s="23" t="s">
        <v>939</v>
      </c>
      <c r="AI1233" s="60"/>
      <c r="AJ1233" s="133" t="s">
        <v>1608</v>
      </c>
      <c r="AK1233" s="73" t="s">
        <v>1499</v>
      </c>
      <c r="AL1233" s="3"/>
      <c r="AM1233" s="4"/>
      <c r="AN1233" s="5"/>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6"/>
      <c r="CO1233" s="7"/>
      <c r="CP1233" s="6"/>
      <c r="CQ1233" s="7"/>
      <c r="CR1233" s="6"/>
      <c r="CS1233" s="7"/>
      <c r="CT1233" s="8">
        <f t="shared" si="307"/>
        <v>0</v>
      </c>
      <c r="CU1233" s="9"/>
      <c r="CV1233" s="10"/>
      <c r="CW1233" s="11"/>
      <c r="CX1233" s="12"/>
      <c r="CY1233" s="26"/>
      <c r="CZ1233" s="12"/>
      <c r="DA1233" s="9"/>
      <c r="DB1233" s="10"/>
      <c r="DC1233" s="64"/>
      <c r="DD1233" s="22"/>
    </row>
    <row r="1234" spans="1:108" s="119" customFormat="1" outlineLevel="2">
      <c r="A1234" s="178">
        <v>40401</v>
      </c>
      <c r="B1234" s="82" t="s">
        <v>956</v>
      </c>
      <c r="C1234" s="174" t="s">
        <v>425</v>
      </c>
      <c r="D1234" s="165" t="s">
        <v>1182</v>
      </c>
      <c r="E1234" s="163"/>
      <c r="F1234" s="105"/>
      <c r="G1234" s="105"/>
      <c r="H1234" s="105">
        <v>5</v>
      </c>
      <c r="I1234" s="105">
        <v>1</v>
      </c>
      <c r="J1234" s="105">
        <v>1</v>
      </c>
      <c r="K1234" s="105"/>
      <c r="L1234" s="105"/>
      <c r="M1234" s="105"/>
      <c r="N1234" s="105"/>
      <c r="O1234" s="105"/>
      <c r="P1234" s="105"/>
      <c r="Q1234" s="105"/>
      <c r="R1234" s="105"/>
      <c r="S1234" s="105"/>
      <c r="T1234" s="106"/>
      <c r="U1234" s="130"/>
      <c r="V1234" s="1"/>
      <c r="W1234" s="68">
        <f t="shared" si="302"/>
        <v>0</v>
      </c>
      <c r="X1234" s="68">
        <f t="shared" si="303"/>
        <v>0</v>
      </c>
      <c r="Y1234" s="68">
        <f t="shared" si="304"/>
        <v>0</v>
      </c>
      <c r="Z1234" s="68">
        <f t="shared" si="305"/>
        <v>0</v>
      </c>
      <c r="AA1234" s="68"/>
      <c r="AB1234" s="68">
        <v>0</v>
      </c>
      <c r="AC1234" s="69">
        <f t="shared" si="306"/>
        <v>0</v>
      </c>
      <c r="AD1234" s="70">
        <v>0</v>
      </c>
      <c r="AE1234" s="63">
        <v>40413</v>
      </c>
      <c r="AF1234" s="72"/>
      <c r="AG1234" s="63" t="s">
        <v>938</v>
      </c>
      <c r="AH1234" s="23" t="s">
        <v>939</v>
      </c>
      <c r="AI1234" s="60"/>
      <c r="AJ1234" s="124" t="s">
        <v>1608</v>
      </c>
      <c r="AK1234" s="73" t="s">
        <v>2230</v>
      </c>
      <c r="AL1234" s="107"/>
      <c r="AM1234" s="108"/>
      <c r="AN1234" s="109"/>
      <c r="AO1234" s="108"/>
      <c r="AP1234" s="108"/>
      <c r="AQ1234" s="108"/>
      <c r="AR1234" s="108"/>
      <c r="AS1234" s="108"/>
      <c r="AT1234" s="108"/>
      <c r="AU1234" s="108"/>
      <c r="AV1234" s="108"/>
      <c r="AW1234" s="108"/>
      <c r="AX1234" s="108"/>
      <c r="AY1234" s="108"/>
      <c r="AZ1234" s="108"/>
      <c r="BA1234" s="108"/>
      <c r="BB1234" s="108"/>
      <c r="BC1234" s="108"/>
      <c r="BD1234" s="108"/>
      <c r="BE1234" s="108"/>
      <c r="BF1234" s="108"/>
      <c r="BG1234" s="108"/>
      <c r="BH1234" s="108"/>
      <c r="BI1234" s="108"/>
      <c r="BJ1234" s="108"/>
      <c r="BK1234" s="108"/>
      <c r="BL1234" s="108"/>
      <c r="BM1234" s="108"/>
      <c r="BN1234" s="108"/>
      <c r="BO1234" s="108"/>
      <c r="BP1234" s="108"/>
      <c r="BQ1234" s="108"/>
      <c r="BR1234" s="108"/>
      <c r="BS1234" s="108"/>
      <c r="BT1234" s="108"/>
      <c r="BU1234" s="108"/>
      <c r="BV1234" s="108"/>
      <c r="BW1234" s="108"/>
      <c r="BX1234" s="108"/>
      <c r="BY1234" s="108"/>
      <c r="BZ1234" s="108"/>
      <c r="CA1234" s="108"/>
      <c r="CB1234" s="108"/>
      <c r="CC1234" s="108"/>
      <c r="CD1234" s="108"/>
      <c r="CE1234" s="108"/>
      <c r="CF1234" s="108"/>
      <c r="CG1234" s="108"/>
      <c r="CH1234" s="108"/>
      <c r="CI1234" s="108"/>
      <c r="CJ1234" s="108"/>
      <c r="CK1234" s="108"/>
      <c r="CL1234" s="108"/>
      <c r="CM1234" s="108"/>
      <c r="CN1234" s="110"/>
      <c r="CO1234" s="111"/>
      <c r="CP1234" s="110"/>
      <c r="CQ1234" s="111"/>
      <c r="CR1234" s="110"/>
      <c r="CS1234" s="111"/>
      <c r="CT1234" s="112">
        <f t="shared" si="307"/>
        <v>0</v>
      </c>
      <c r="CU1234" s="113"/>
      <c r="CV1234" s="114"/>
      <c r="CW1234" s="115"/>
      <c r="CX1234" s="116"/>
      <c r="CY1234" s="117"/>
      <c r="CZ1234" s="116"/>
      <c r="DA1234" s="113"/>
      <c r="DB1234" s="114"/>
      <c r="DC1234" s="64"/>
      <c r="DD1234" s="118">
        <v>1241</v>
      </c>
    </row>
    <row r="1235" spans="1:108" s="119" customFormat="1" ht="24" outlineLevel="2">
      <c r="A1235" s="178">
        <v>40405</v>
      </c>
      <c r="B1235" s="82" t="s">
        <v>956</v>
      </c>
      <c r="C1235" s="174" t="s">
        <v>2379</v>
      </c>
      <c r="D1235" s="165" t="s">
        <v>1182</v>
      </c>
      <c r="E1235" s="163"/>
      <c r="F1235" s="105"/>
      <c r="G1235" s="105"/>
      <c r="H1235" s="105"/>
      <c r="I1235" s="105"/>
      <c r="J1235" s="105"/>
      <c r="K1235" s="105"/>
      <c r="L1235" s="105"/>
      <c r="M1235" s="105"/>
      <c r="N1235" s="105"/>
      <c r="O1235" s="105">
        <v>1</v>
      </c>
      <c r="P1235" s="105"/>
      <c r="Q1235" s="105"/>
      <c r="R1235" s="105"/>
      <c r="S1235" s="105"/>
      <c r="T1235" s="106"/>
      <c r="U1235" s="130"/>
      <c r="V1235" s="1"/>
      <c r="W1235" s="68">
        <f t="shared" ref="W1235:W1266" si="308">CT1235</f>
        <v>0</v>
      </c>
      <c r="X1235" s="68">
        <f t="shared" ref="X1235:X1266" si="309">CX1235</f>
        <v>0</v>
      </c>
      <c r="Y1235" s="68">
        <f t="shared" ref="Y1235:Y1266" si="310">CZ1235+DB1235</f>
        <v>0</v>
      </c>
      <c r="Z1235" s="68">
        <f t="shared" ref="Z1235:Z1266" si="311">CV1235</f>
        <v>0</v>
      </c>
      <c r="AA1235" s="68"/>
      <c r="AB1235" s="68">
        <v>0</v>
      </c>
      <c r="AC1235" s="69">
        <f t="shared" ref="AC1235:AC1266" si="312">W1235+X1235+Y1235+Z1235+AA1235+AB1235</f>
        <v>0</v>
      </c>
      <c r="AD1235" s="70">
        <v>0</v>
      </c>
      <c r="AE1235" s="63">
        <v>40413</v>
      </c>
      <c r="AF1235" s="72"/>
      <c r="AG1235" s="63" t="s">
        <v>938</v>
      </c>
      <c r="AH1235" s="23" t="s">
        <v>939</v>
      </c>
      <c r="AI1235" s="60"/>
      <c r="AJ1235" s="124" t="s">
        <v>1608</v>
      </c>
      <c r="AK1235" s="73" t="s">
        <v>2231</v>
      </c>
      <c r="AL1235" s="107"/>
      <c r="AM1235" s="108"/>
      <c r="AN1235" s="109"/>
      <c r="AO1235" s="108"/>
      <c r="AP1235" s="108"/>
      <c r="AQ1235" s="108"/>
      <c r="AR1235" s="108"/>
      <c r="AS1235" s="108"/>
      <c r="AT1235" s="108"/>
      <c r="AU1235" s="108"/>
      <c r="AV1235" s="108"/>
      <c r="AW1235" s="108"/>
      <c r="AX1235" s="108"/>
      <c r="AY1235" s="108"/>
      <c r="AZ1235" s="108"/>
      <c r="BA1235" s="108"/>
      <c r="BB1235" s="108"/>
      <c r="BC1235" s="108"/>
      <c r="BD1235" s="108"/>
      <c r="BE1235" s="108"/>
      <c r="BF1235" s="108"/>
      <c r="BG1235" s="108"/>
      <c r="BH1235" s="108"/>
      <c r="BI1235" s="108"/>
      <c r="BJ1235" s="108"/>
      <c r="BK1235" s="108"/>
      <c r="BL1235" s="108"/>
      <c r="BM1235" s="108"/>
      <c r="BN1235" s="108"/>
      <c r="BO1235" s="108"/>
      <c r="BP1235" s="108"/>
      <c r="BQ1235" s="108"/>
      <c r="BR1235" s="108"/>
      <c r="BS1235" s="108"/>
      <c r="BT1235" s="108"/>
      <c r="BU1235" s="108"/>
      <c r="BV1235" s="108"/>
      <c r="BW1235" s="108"/>
      <c r="BX1235" s="108"/>
      <c r="BY1235" s="108"/>
      <c r="BZ1235" s="108"/>
      <c r="CA1235" s="108"/>
      <c r="CB1235" s="108"/>
      <c r="CC1235" s="108"/>
      <c r="CD1235" s="108"/>
      <c r="CE1235" s="108"/>
      <c r="CF1235" s="108"/>
      <c r="CG1235" s="108"/>
      <c r="CH1235" s="108"/>
      <c r="CI1235" s="108"/>
      <c r="CJ1235" s="108"/>
      <c r="CK1235" s="108"/>
      <c r="CL1235" s="108"/>
      <c r="CM1235" s="108"/>
      <c r="CN1235" s="110"/>
      <c r="CO1235" s="111"/>
      <c r="CP1235" s="110"/>
      <c r="CQ1235" s="111"/>
      <c r="CR1235" s="110"/>
      <c r="CS1235" s="111"/>
      <c r="CT1235" s="112">
        <f t="shared" ref="CT1235:CT1266" si="313">AM1235+AO1235+AQ1235+AS1235+AU1235+AW1235+AY1235+BA1235+BC1235+BE1235+BG1235+BI1235+BK1235+BM1235+BO1235+BQ1235+BS1235+BU1235+BW1235+BY1235+CA1235+CC1235+CE1235+CG1235+CI1235+CK1235+CM1235+CO1235+CQ1235+CS1235</f>
        <v>0</v>
      </c>
      <c r="CU1235" s="113"/>
      <c r="CV1235" s="114"/>
      <c r="CW1235" s="115"/>
      <c r="CX1235" s="116"/>
      <c r="CY1235" s="117"/>
      <c r="CZ1235" s="116"/>
      <c r="DA1235" s="113"/>
      <c r="DB1235" s="114"/>
      <c r="DC1235" s="64"/>
      <c r="DD1235" s="118"/>
    </row>
    <row r="1236" spans="1:108" s="119" customFormat="1" ht="24" outlineLevel="2">
      <c r="A1236" s="178">
        <v>40410</v>
      </c>
      <c r="B1236" s="82" t="s">
        <v>956</v>
      </c>
      <c r="C1236" s="82" t="s">
        <v>584</v>
      </c>
      <c r="D1236" s="165" t="s">
        <v>435</v>
      </c>
      <c r="E1236" s="167"/>
      <c r="F1236" s="66"/>
      <c r="G1236" s="66"/>
      <c r="H1236" s="66">
        <v>410</v>
      </c>
      <c r="I1236" s="66">
        <v>82</v>
      </c>
      <c r="J1236" s="66"/>
      <c r="K1236" s="66">
        <v>82</v>
      </c>
      <c r="L1236" s="66"/>
      <c r="M1236" s="66"/>
      <c r="N1236" s="66"/>
      <c r="O1236" s="66"/>
      <c r="P1236" s="66"/>
      <c r="Q1236" s="66"/>
      <c r="R1236" s="66"/>
      <c r="S1236" s="66"/>
      <c r="T1236" s="67"/>
      <c r="U1236" s="151"/>
      <c r="V1236" s="1"/>
      <c r="W1236" s="68">
        <f t="shared" si="308"/>
        <v>0</v>
      </c>
      <c r="X1236" s="68">
        <f t="shared" si="309"/>
        <v>0</v>
      </c>
      <c r="Y1236" s="68">
        <f t="shared" si="310"/>
        <v>0</v>
      </c>
      <c r="Z1236" s="68">
        <f t="shared" si="311"/>
        <v>0</v>
      </c>
      <c r="AA1236" s="68"/>
      <c r="AB1236" s="68">
        <v>0</v>
      </c>
      <c r="AC1236" s="69">
        <f t="shared" si="312"/>
        <v>0</v>
      </c>
      <c r="AD1236" s="70">
        <v>0</v>
      </c>
      <c r="AE1236" s="63">
        <v>40413</v>
      </c>
      <c r="AF1236" s="72"/>
      <c r="AG1236" s="63" t="s">
        <v>938</v>
      </c>
      <c r="AH1236" s="23" t="s">
        <v>939</v>
      </c>
      <c r="AI1236" s="60"/>
      <c r="AJ1236" s="133" t="s">
        <v>1608</v>
      </c>
      <c r="AK1236" s="73" t="s">
        <v>2102</v>
      </c>
      <c r="AL1236" s="3"/>
      <c r="AM1236" s="4"/>
      <c r="AN1236" s="5"/>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6"/>
      <c r="CO1236" s="7"/>
      <c r="CP1236" s="6"/>
      <c r="CQ1236" s="7"/>
      <c r="CR1236" s="6"/>
      <c r="CS1236" s="7"/>
      <c r="CT1236" s="8">
        <f t="shared" si="313"/>
        <v>0</v>
      </c>
      <c r="CU1236" s="9"/>
      <c r="CV1236" s="10"/>
      <c r="CW1236" s="11"/>
      <c r="CX1236" s="12"/>
      <c r="CY1236" s="26"/>
      <c r="CZ1236" s="12"/>
      <c r="DA1236" s="9"/>
      <c r="DB1236" s="10"/>
      <c r="DC1236" s="64"/>
      <c r="DD1236" s="22"/>
    </row>
    <row r="1237" spans="1:108" s="119" customFormat="1" ht="36" outlineLevel="2">
      <c r="A1237" s="178">
        <v>40422</v>
      </c>
      <c r="B1237" s="82" t="s">
        <v>956</v>
      </c>
      <c r="C1237" s="174" t="s">
        <v>584</v>
      </c>
      <c r="D1237" s="179" t="s">
        <v>1262</v>
      </c>
      <c r="E1237" s="163"/>
      <c r="F1237" s="105"/>
      <c r="G1237" s="105"/>
      <c r="H1237" s="105">
        <v>75</v>
      </c>
      <c r="I1237" s="105">
        <v>15</v>
      </c>
      <c r="J1237" s="105"/>
      <c r="K1237" s="105">
        <v>15</v>
      </c>
      <c r="L1237" s="105"/>
      <c r="M1237" s="105"/>
      <c r="N1237" s="105"/>
      <c r="O1237" s="105"/>
      <c r="P1237" s="105"/>
      <c r="Q1237" s="105"/>
      <c r="R1237" s="105"/>
      <c r="S1237" s="105"/>
      <c r="T1237" s="106"/>
      <c r="U1237" s="130"/>
      <c r="V1237" s="1"/>
      <c r="W1237" s="68">
        <f t="shared" si="308"/>
        <v>0</v>
      </c>
      <c r="X1237" s="68">
        <f t="shared" si="309"/>
        <v>0</v>
      </c>
      <c r="Y1237" s="68">
        <f t="shared" si="310"/>
        <v>0</v>
      </c>
      <c r="Z1237" s="68">
        <f t="shared" si="311"/>
        <v>0</v>
      </c>
      <c r="AA1237" s="68"/>
      <c r="AB1237" s="68">
        <v>0</v>
      </c>
      <c r="AC1237" s="69">
        <f t="shared" si="312"/>
        <v>0</v>
      </c>
      <c r="AD1237" s="70">
        <v>0</v>
      </c>
      <c r="AE1237" s="63">
        <v>40428</v>
      </c>
      <c r="AF1237" s="72"/>
      <c r="AG1237" s="63" t="s">
        <v>938</v>
      </c>
      <c r="AH1237" s="23" t="s">
        <v>939</v>
      </c>
      <c r="AI1237" s="60"/>
      <c r="AJ1237" s="124" t="s">
        <v>1608</v>
      </c>
      <c r="AK1237" s="129" t="s">
        <v>1731</v>
      </c>
      <c r="AL1237" s="107"/>
      <c r="AM1237" s="108"/>
      <c r="AN1237" s="109"/>
      <c r="AO1237" s="108"/>
      <c r="AP1237" s="108"/>
      <c r="AQ1237" s="108"/>
      <c r="AR1237" s="108"/>
      <c r="AS1237" s="108"/>
      <c r="AT1237" s="108"/>
      <c r="AU1237" s="108"/>
      <c r="AV1237" s="108"/>
      <c r="AW1237" s="108"/>
      <c r="AX1237" s="108"/>
      <c r="AY1237" s="108"/>
      <c r="AZ1237" s="108"/>
      <c r="BA1237" s="108"/>
      <c r="BB1237" s="108"/>
      <c r="BC1237" s="108"/>
      <c r="BD1237" s="108"/>
      <c r="BE1237" s="108"/>
      <c r="BF1237" s="108"/>
      <c r="BG1237" s="108"/>
      <c r="BH1237" s="108"/>
      <c r="BI1237" s="108"/>
      <c r="BJ1237" s="108"/>
      <c r="BK1237" s="108"/>
      <c r="BL1237" s="108"/>
      <c r="BM1237" s="108"/>
      <c r="BN1237" s="108"/>
      <c r="BO1237" s="108"/>
      <c r="BP1237" s="108"/>
      <c r="BQ1237" s="108"/>
      <c r="BR1237" s="108"/>
      <c r="BS1237" s="108"/>
      <c r="BT1237" s="108"/>
      <c r="BU1237" s="108"/>
      <c r="BV1237" s="108"/>
      <c r="BW1237" s="108"/>
      <c r="BX1237" s="108"/>
      <c r="BY1237" s="108"/>
      <c r="BZ1237" s="108"/>
      <c r="CA1237" s="108"/>
      <c r="CB1237" s="108"/>
      <c r="CC1237" s="108"/>
      <c r="CD1237" s="108"/>
      <c r="CE1237" s="108"/>
      <c r="CF1237" s="108"/>
      <c r="CG1237" s="108"/>
      <c r="CH1237" s="108"/>
      <c r="CI1237" s="108"/>
      <c r="CJ1237" s="108"/>
      <c r="CK1237" s="108"/>
      <c r="CL1237" s="108"/>
      <c r="CM1237" s="108"/>
      <c r="CN1237" s="110"/>
      <c r="CO1237" s="111"/>
      <c r="CP1237" s="110"/>
      <c r="CQ1237" s="111"/>
      <c r="CR1237" s="110"/>
      <c r="CS1237" s="111"/>
      <c r="CT1237" s="112">
        <f t="shared" si="313"/>
        <v>0</v>
      </c>
      <c r="CU1237" s="113"/>
      <c r="CV1237" s="114"/>
      <c r="CW1237" s="115"/>
      <c r="CX1237" s="116"/>
      <c r="CY1237" s="117"/>
      <c r="CZ1237" s="116"/>
      <c r="DA1237" s="113"/>
      <c r="DB1237" s="114"/>
      <c r="DC1237" s="64"/>
      <c r="DD1237" s="118"/>
    </row>
    <row r="1238" spans="1:108" s="119" customFormat="1" ht="24" outlineLevel="2">
      <c r="A1238" s="178">
        <v>40426</v>
      </c>
      <c r="B1238" s="82" t="s">
        <v>956</v>
      </c>
      <c r="C1238" s="174" t="s">
        <v>416</v>
      </c>
      <c r="D1238" s="165" t="s">
        <v>1182</v>
      </c>
      <c r="E1238" s="163"/>
      <c r="F1238" s="105"/>
      <c r="G1238" s="105"/>
      <c r="H1238" s="105"/>
      <c r="I1238" s="105"/>
      <c r="J1238" s="105"/>
      <c r="K1238" s="105"/>
      <c r="L1238" s="105">
        <v>11</v>
      </c>
      <c r="M1238" s="105"/>
      <c r="N1238" s="105"/>
      <c r="O1238" s="105"/>
      <c r="P1238" s="105"/>
      <c r="Q1238" s="105"/>
      <c r="R1238" s="105"/>
      <c r="S1238" s="105"/>
      <c r="T1238" s="106"/>
      <c r="U1238" s="130"/>
      <c r="V1238" s="1"/>
      <c r="W1238" s="68">
        <f t="shared" si="308"/>
        <v>0</v>
      </c>
      <c r="X1238" s="68">
        <f t="shared" si="309"/>
        <v>0</v>
      </c>
      <c r="Y1238" s="68">
        <f t="shared" si="310"/>
        <v>0</v>
      </c>
      <c r="Z1238" s="68">
        <f t="shared" si="311"/>
        <v>0</v>
      </c>
      <c r="AA1238" s="68"/>
      <c r="AB1238" s="68">
        <v>0</v>
      </c>
      <c r="AC1238" s="69">
        <f t="shared" si="312"/>
        <v>0</v>
      </c>
      <c r="AD1238" s="70">
        <v>0</v>
      </c>
      <c r="AE1238" s="63">
        <v>40428</v>
      </c>
      <c r="AF1238" s="72"/>
      <c r="AG1238" s="63" t="s">
        <v>938</v>
      </c>
      <c r="AH1238" s="23" t="s">
        <v>939</v>
      </c>
      <c r="AI1238" s="60"/>
      <c r="AJ1238" s="124" t="s">
        <v>1608</v>
      </c>
      <c r="AK1238" s="121" t="s">
        <v>1742</v>
      </c>
      <c r="AL1238" s="107"/>
      <c r="AM1238" s="108"/>
      <c r="AN1238" s="109"/>
      <c r="AO1238" s="108"/>
      <c r="AP1238" s="108"/>
      <c r="AQ1238" s="108"/>
      <c r="AR1238" s="108"/>
      <c r="AS1238" s="108"/>
      <c r="AT1238" s="108"/>
      <c r="AU1238" s="108"/>
      <c r="AV1238" s="108"/>
      <c r="AW1238" s="108"/>
      <c r="AX1238" s="108"/>
      <c r="AY1238" s="108"/>
      <c r="AZ1238" s="108"/>
      <c r="BA1238" s="108"/>
      <c r="BB1238" s="108"/>
      <c r="BC1238" s="108"/>
      <c r="BD1238" s="108"/>
      <c r="BE1238" s="108"/>
      <c r="BF1238" s="108"/>
      <c r="BG1238" s="108"/>
      <c r="BH1238" s="108"/>
      <c r="BI1238" s="108"/>
      <c r="BJ1238" s="108"/>
      <c r="BK1238" s="108"/>
      <c r="BL1238" s="108"/>
      <c r="BM1238" s="108"/>
      <c r="BN1238" s="108"/>
      <c r="BO1238" s="108"/>
      <c r="BP1238" s="108"/>
      <c r="BQ1238" s="108"/>
      <c r="BR1238" s="108"/>
      <c r="BS1238" s="108"/>
      <c r="BT1238" s="108"/>
      <c r="BU1238" s="108"/>
      <c r="BV1238" s="108"/>
      <c r="BW1238" s="108"/>
      <c r="BX1238" s="108"/>
      <c r="BY1238" s="108"/>
      <c r="BZ1238" s="108"/>
      <c r="CA1238" s="108"/>
      <c r="CB1238" s="108"/>
      <c r="CC1238" s="108"/>
      <c r="CD1238" s="108"/>
      <c r="CE1238" s="108"/>
      <c r="CF1238" s="108"/>
      <c r="CG1238" s="108"/>
      <c r="CH1238" s="108"/>
      <c r="CI1238" s="108"/>
      <c r="CJ1238" s="108"/>
      <c r="CK1238" s="108"/>
      <c r="CL1238" s="108"/>
      <c r="CM1238" s="108"/>
      <c r="CN1238" s="110"/>
      <c r="CO1238" s="111"/>
      <c r="CP1238" s="110"/>
      <c r="CQ1238" s="111"/>
      <c r="CR1238" s="110"/>
      <c r="CS1238" s="111"/>
      <c r="CT1238" s="112">
        <f t="shared" si="313"/>
        <v>0</v>
      </c>
      <c r="CU1238" s="113"/>
      <c r="CV1238" s="114"/>
      <c r="CW1238" s="115"/>
      <c r="CX1238" s="116"/>
      <c r="CY1238" s="117"/>
      <c r="CZ1238" s="116"/>
      <c r="DA1238" s="113"/>
      <c r="DB1238" s="114"/>
      <c r="DC1238" s="64"/>
      <c r="DD1238" s="118"/>
    </row>
    <row r="1239" spans="1:108" s="119" customFormat="1" ht="22.5" outlineLevel="2">
      <c r="A1239" s="178">
        <v>40432</v>
      </c>
      <c r="B1239" s="82" t="s">
        <v>956</v>
      </c>
      <c r="C1239" s="164" t="s">
        <v>1052</v>
      </c>
      <c r="D1239" s="166" t="s">
        <v>435</v>
      </c>
      <c r="E1239" s="163"/>
      <c r="F1239" s="105"/>
      <c r="G1239" s="105"/>
      <c r="H1239" s="105">
        <v>17</v>
      </c>
      <c r="I1239" s="105">
        <v>3</v>
      </c>
      <c r="J1239" s="105"/>
      <c r="K1239" s="105">
        <v>3</v>
      </c>
      <c r="L1239" s="105"/>
      <c r="M1239" s="105"/>
      <c r="N1239" s="105"/>
      <c r="O1239" s="105"/>
      <c r="P1239" s="105"/>
      <c r="Q1239" s="105"/>
      <c r="R1239" s="105"/>
      <c r="S1239" s="105"/>
      <c r="T1239" s="106"/>
      <c r="U1239" s="130"/>
      <c r="V1239" s="1"/>
      <c r="W1239" s="68">
        <f t="shared" si="308"/>
        <v>0</v>
      </c>
      <c r="X1239" s="68">
        <f t="shared" si="309"/>
        <v>0</v>
      </c>
      <c r="Y1239" s="68">
        <f t="shared" si="310"/>
        <v>0</v>
      </c>
      <c r="Z1239" s="68">
        <f t="shared" si="311"/>
        <v>0</v>
      </c>
      <c r="AA1239" s="68"/>
      <c r="AB1239" s="68">
        <v>0</v>
      </c>
      <c r="AC1239" s="69">
        <f t="shared" si="312"/>
        <v>0</v>
      </c>
      <c r="AD1239" s="70">
        <v>0</v>
      </c>
      <c r="AE1239" s="63">
        <v>40455</v>
      </c>
      <c r="AF1239" s="72"/>
      <c r="AG1239" s="63" t="s">
        <v>938</v>
      </c>
      <c r="AH1239" s="23" t="s">
        <v>939</v>
      </c>
      <c r="AI1239" s="60"/>
      <c r="AJ1239" s="124" t="s">
        <v>1608</v>
      </c>
      <c r="AK1239" s="121" t="s">
        <v>765</v>
      </c>
      <c r="AL1239" s="107"/>
      <c r="AM1239" s="108"/>
      <c r="AN1239" s="109"/>
      <c r="AO1239" s="108"/>
      <c r="AP1239" s="108"/>
      <c r="AQ1239" s="108"/>
      <c r="AR1239" s="108"/>
      <c r="AS1239" s="108"/>
      <c r="AT1239" s="108"/>
      <c r="AU1239" s="108"/>
      <c r="AV1239" s="108"/>
      <c r="AW1239" s="108"/>
      <c r="AX1239" s="108"/>
      <c r="AY1239" s="108"/>
      <c r="AZ1239" s="108"/>
      <c r="BA1239" s="108"/>
      <c r="BB1239" s="108"/>
      <c r="BC1239" s="108"/>
      <c r="BD1239" s="108"/>
      <c r="BE1239" s="108"/>
      <c r="BF1239" s="108"/>
      <c r="BG1239" s="108"/>
      <c r="BH1239" s="108"/>
      <c r="BI1239" s="108"/>
      <c r="BJ1239" s="108"/>
      <c r="BK1239" s="108"/>
      <c r="BL1239" s="108"/>
      <c r="BM1239" s="108"/>
      <c r="BN1239" s="108"/>
      <c r="BO1239" s="108"/>
      <c r="BP1239" s="108"/>
      <c r="BQ1239" s="108"/>
      <c r="BR1239" s="108"/>
      <c r="BS1239" s="108"/>
      <c r="BT1239" s="108"/>
      <c r="BU1239" s="108"/>
      <c r="BV1239" s="108"/>
      <c r="BW1239" s="108"/>
      <c r="BX1239" s="108"/>
      <c r="BY1239" s="108"/>
      <c r="BZ1239" s="108"/>
      <c r="CA1239" s="108"/>
      <c r="CB1239" s="108"/>
      <c r="CC1239" s="108"/>
      <c r="CD1239" s="108"/>
      <c r="CE1239" s="108"/>
      <c r="CF1239" s="108"/>
      <c r="CG1239" s="108"/>
      <c r="CH1239" s="108"/>
      <c r="CI1239" s="108"/>
      <c r="CJ1239" s="108"/>
      <c r="CK1239" s="108"/>
      <c r="CL1239" s="108"/>
      <c r="CM1239" s="108"/>
      <c r="CN1239" s="110"/>
      <c r="CO1239" s="111"/>
      <c r="CP1239" s="110"/>
      <c r="CQ1239" s="111"/>
      <c r="CR1239" s="110"/>
      <c r="CS1239" s="111"/>
      <c r="CT1239" s="112">
        <f t="shared" si="313"/>
        <v>0</v>
      </c>
      <c r="CU1239" s="113"/>
      <c r="CV1239" s="114"/>
      <c r="CW1239" s="115"/>
      <c r="CX1239" s="116"/>
      <c r="CY1239" s="117"/>
      <c r="CZ1239" s="116"/>
      <c r="DA1239" s="113"/>
      <c r="DB1239" s="114"/>
      <c r="DC1239" s="64"/>
      <c r="DD1239" s="118"/>
    </row>
    <row r="1240" spans="1:108" s="119" customFormat="1" outlineLevel="2">
      <c r="A1240" s="178">
        <v>40436</v>
      </c>
      <c r="B1240" s="82" t="s">
        <v>956</v>
      </c>
      <c r="C1240" s="164" t="s">
        <v>766</v>
      </c>
      <c r="D1240" s="165" t="s">
        <v>1182</v>
      </c>
      <c r="E1240" s="163"/>
      <c r="F1240" s="105"/>
      <c r="G1240" s="105"/>
      <c r="H1240" s="105">
        <v>25</v>
      </c>
      <c r="I1240" s="105">
        <v>5</v>
      </c>
      <c r="J1240" s="105"/>
      <c r="K1240" s="105">
        <v>5</v>
      </c>
      <c r="L1240" s="105"/>
      <c r="M1240" s="105"/>
      <c r="N1240" s="105"/>
      <c r="O1240" s="105"/>
      <c r="P1240" s="105"/>
      <c r="Q1240" s="105"/>
      <c r="R1240" s="105">
        <v>1</v>
      </c>
      <c r="S1240" s="105"/>
      <c r="T1240" s="106"/>
      <c r="U1240" s="130"/>
      <c r="V1240" s="1"/>
      <c r="W1240" s="68">
        <f t="shared" si="308"/>
        <v>0</v>
      </c>
      <c r="X1240" s="68">
        <f t="shared" si="309"/>
        <v>0</v>
      </c>
      <c r="Y1240" s="68">
        <f t="shared" si="310"/>
        <v>0</v>
      </c>
      <c r="Z1240" s="68">
        <f t="shared" si="311"/>
        <v>0</v>
      </c>
      <c r="AA1240" s="68"/>
      <c r="AB1240" s="68">
        <v>0</v>
      </c>
      <c r="AC1240" s="69">
        <f t="shared" si="312"/>
        <v>0</v>
      </c>
      <c r="AD1240" s="70">
        <v>0</v>
      </c>
      <c r="AE1240" s="63">
        <v>40455</v>
      </c>
      <c r="AF1240" s="72"/>
      <c r="AG1240" s="63" t="s">
        <v>938</v>
      </c>
      <c r="AH1240" s="23" t="s">
        <v>939</v>
      </c>
      <c r="AI1240" s="60"/>
      <c r="AJ1240" s="124" t="s">
        <v>1608</v>
      </c>
      <c r="AK1240" s="121" t="s">
        <v>767</v>
      </c>
      <c r="AL1240" s="107"/>
      <c r="AM1240" s="108"/>
      <c r="AN1240" s="109"/>
      <c r="AO1240" s="108"/>
      <c r="AP1240" s="108"/>
      <c r="AQ1240" s="108"/>
      <c r="AR1240" s="108"/>
      <c r="AS1240" s="108"/>
      <c r="AT1240" s="108"/>
      <c r="AU1240" s="108"/>
      <c r="AV1240" s="108"/>
      <c r="AW1240" s="108"/>
      <c r="AX1240" s="108"/>
      <c r="AY1240" s="108"/>
      <c r="AZ1240" s="108"/>
      <c r="BA1240" s="108"/>
      <c r="BB1240" s="108"/>
      <c r="BC1240" s="108"/>
      <c r="BD1240" s="108"/>
      <c r="BE1240" s="108"/>
      <c r="BF1240" s="108"/>
      <c r="BG1240" s="108"/>
      <c r="BH1240" s="108"/>
      <c r="BI1240" s="108"/>
      <c r="BJ1240" s="108"/>
      <c r="BK1240" s="108"/>
      <c r="BL1240" s="108"/>
      <c r="BM1240" s="108"/>
      <c r="BN1240" s="108"/>
      <c r="BO1240" s="108"/>
      <c r="BP1240" s="108"/>
      <c r="BQ1240" s="108"/>
      <c r="BR1240" s="108"/>
      <c r="BS1240" s="108"/>
      <c r="BT1240" s="108"/>
      <c r="BU1240" s="108"/>
      <c r="BV1240" s="108"/>
      <c r="BW1240" s="108"/>
      <c r="BX1240" s="108"/>
      <c r="BY1240" s="108"/>
      <c r="BZ1240" s="108"/>
      <c r="CA1240" s="108"/>
      <c r="CB1240" s="108"/>
      <c r="CC1240" s="108"/>
      <c r="CD1240" s="108"/>
      <c r="CE1240" s="108"/>
      <c r="CF1240" s="108"/>
      <c r="CG1240" s="108"/>
      <c r="CH1240" s="108"/>
      <c r="CI1240" s="108"/>
      <c r="CJ1240" s="108"/>
      <c r="CK1240" s="108"/>
      <c r="CL1240" s="108"/>
      <c r="CM1240" s="108"/>
      <c r="CN1240" s="110"/>
      <c r="CO1240" s="111"/>
      <c r="CP1240" s="110"/>
      <c r="CQ1240" s="111"/>
      <c r="CR1240" s="110"/>
      <c r="CS1240" s="111"/>
      <c r="CT1240" s="112">
        <f t="shared" si="313"/>
        <v>0</v>
      </c>
      <c r="CU1240" s="113"/>
      <c r="CV1240" s="114"/>
      <c r="CW1240" s="115"/>
      <c r="CX1240" s="116"/>
      <c r="CY1240" s="117"/>
      <c r="CZ1240" s="116"/>
      <c r="DA1240" s="113"/>
      <c r="DB1240" s="114"/>
      <c r="DC1240" s="64"/>
      <c r="DD1240" s="118"/>
    </row>
    <row r="1241" spans="1:108" s="119" customFormat="1" outlineLevel="2">
      <c r="A1241" s="178">
        <v>40446</v>
      </c>
      <c r="B1241" s="82" t="s">
        <v>956</v>
      </c>
      <c r="C1241" s="164" t="s">
        <v>881</v>
      </c>
      <c r="D1241" s="165" t="s">
        <v>1182</v>
      </c>
      <c r="E1241" s="163"/>
      <c r="F1241" s="105"/>
      <c r="G1241" s="105"/>
      <c r="H1241" s="105">
        <v>4</v>
      </c>
      <c r="I1241" s="105">
        <v>1</v>
      </c>
      <c r="J1241" s="105">
        <v>1</v>
      </c>
      <c r="K1241" s="105"/>
      <c r="L1241" s="105"/>
      <c r="M1241" s="105"/>
      <c r="N1241" s="105"/>
      <c r="O1241" s="105"/>
      <c r="P1241" s="105"/>
      <c r="Q1241" s="105"/>
      <c r="R1241" s="105"/>
      <c r="S1241" s="105"/>
      <c r="T1241" s="106"/>
      <c r="U1241" s="130"/>
      <c r="V1241" s="1"/>
      <c r="W1241" s="68">
        <f t="shared" si="308"/>
        <v>0</v>
      </c>
      <c r="X1241" s="68">
        <f t="shared" si="309"/>
        <v>0</v>
      </c>
      <c r="Y1241" s="68">
        <f t="shared" si="310"/>
        <v>0</v>
      </c>
      <c r="Z1241" s="68">
        <f t="shared" si="311"/>
        <v>0</v>
      </c>
      <c r="AA1241" s="68"/>
      <c r="AB1241" s="68">
        <v>0</v>
      </c>
      <c r="AC1241" s="69">
        <f t="shared" si="312"/>
        <v>0</v>
      </c>
      <c r="AD1241" s="70">
        <v>0</v>
      </c>
      <c r="AE1241" s="63">
        <v>40455</v>
      </c>
      <c r="AF1241" s="72"/>
      <c r="AG1241" s="63" t="s">
        <v>938</v>
      </c>
      <c r="AH1241" s="23" t="s">
        <v>939</v>
      </c>
      <c r="AI1241" s="60"/>
      <c r="AJ1241" s="124" t="s">
        <v>1608</v>
      </c>
      <c r="AK1241" s="121" t="s">
        <v>768</v>
      </c>
      <c r="AL1241" s="107"/>
      <c r="AM1241" s="108"/>
      <c r="AN1241" s="109"/>
      <c r="AO1241" s="108"/>
      <c r="AP1241" s="108"/>
      <c r="AQ1241" s="108"/>
      <c r="AR1241" s="108"/>
      <c r="AS1241" s="108"/>
      <c r="AT1241" s="108"/>
      <c r="AU1241" s="108"/>
      <c r="AV1241" s="108"/>
      <c r="AW1241" s="108"/>
      <c r="AX1241" s="108"/>
      <c r="AY1241" s="108"/>
      <c r="AZ1241" s="108"/>
      <c r="BA1241" s="108"/>
      <c r="BB1241" s="108"/>
      <c r="BC1241" s="108"/>
      <c r="BD1241" s="108"/>
      <c r="BE1241" s="108"/>
      <c r="BF1241" s="108"/>
      <c r="BG1241" s="108"/>
      <c r="BH1241" s="108"/>
      <c r="BI1241" s="108"/>
      <c r="BJ1241" s="108"/>
      <c r="BK1241" s="108"/>
      <c r="BL1241" s="108"/>
      <c r="BM1241" s="108"/>
      <c r="BN1241" s="108"/>
      <c r="BO1241" s="108"/>
      <c r="BP1241" s="108"/>
      <c r="BQ1241" s="108"/>
      <c r="BR1241" s="108"/>
      <c r="BS1241" s="108"/>
      <c r="BT1241" s="108"/>
      <c r="BU1241" s="108"/>
      <c r="BV1241" s="108"/>
      <c r="BW1241" s="108"/>
      <c r="BX1241" s="108"/>
      <c r="BY1241" s="108"/>
      <c r="BZ1241" s="108"/>
      <c r="CA1241" s="108"/>
      <c r="CB1241" s="108"/>
      <c r="CC1241" s="108"/>
      <c r="CD1241" s="108"/>
      <c r="CE1241" s="108"/>
      <c r="CF1241" s="108"/>
      <c r="CG1241" s="108"/>
      <c r="CH1241" s="108"/>
      <c r="CI1241" s="108"/>
      <c r="CJ1241" s="108"/>
      <c r="CK1241" s="108"/>
      <c r="CL1241" s="108"/>
      <c r="CM1241" s="108"/>
      <c r="CN1241" s="110"/>
      <c r="CO1241" s="111"/>
      <c r="CP1241" s="110"/>
      <c r="CQ1241" s="111"/>
      <c r="CR1241" s="110"/>
      <c r="CS1241" s="111"/>
      <c r="CT1241" s="112">
        <f t="shared" si="313"/>
        <v>0</v>
      </c>
      <c r="CU1241" s="113"/>
      <c r="CV1241" s="114"/>
      <c r="CW1241" s="115"/>
      <c r="CX1241" s="116"/>
      <c r="CY1241" s="117"/>
      <c r="CZ1241" s="116"/>
      <c r="DA1241" s="113"/>
      <c r="DB1241" s="114"/>
      <c r="DC1241" s="64"/>
      <c r="DD1241" s="118"/>
    </row>
    <row r="1242" spans="1:108" s="119" customFormat="1" ht="24" outlineLevel="2">
      <c r="A1242" s="178">
        <v>40456</v>
      </c>
      <c r="B1242" s="82" t="s">
        <v>956</v>
      </c>
      <c r="C1242" s="164" t="s">
        <v>1157</v>
      </c>
      <c r="D1242" s="166" t="s">
        <v>435</v>
      </c>
      <c r="E1242" s="163"/>
      <c r="F1242" s="105"/>
      <c r="G1242" s="105"/>
      <c r="H1242" s="105">
        <v>19</v>
      </c>
      <c r="I1242" s="105">
        <v>4</v>
      </c>
      <c r="J1242" s="105"/>
      <c r="K1242" s="105">
        <v>4</v>
      </c>
      <c r="L1242" s="105"/>
      <c r="M1242" s="105"/>
      <c r="N1242" s="105"/>
      <c r="O1242" s="105"/>
      <c r="P1242" s="105"/>
      <c r="Q1242" s="105"/>
      <c r="R1242" s="105"/>
      <c r="S1242" s="105"/>
      <c r="T1242" s="106"/>
      <c r="U1242" s="130"/>
      <c r="V1242" s="1"/>
      <c r="W1242" s="68">
        <f t="shared" si="308"/>
        <v>0</v>
      </c>
      <c r="X1242" s="68">
        <f t="shared" si="309"/>
        <v>0</v>
      </c>
      <c r="Y1242" s="68">
        <f t="shared" si="310"/>
        <v>0</v>
      </c>
      <c r="Z1242" s="68">
        <f t="shared" si="311"/>
        <v>0</v>
      </c>
      <c r="AA1242" s="68"/>
      <c r="AB1242" s="68">
        <v>0</v>
      </c>
      <c r="AC1242" s="69">
        <f t="shared" si="312"/>
        <v>0</v>
      </c>
      <c r="AD1242" s="70">
        <v>0</v>
      </c>
      <c r="AE1242" s="63">
        <v>40458</v>
      </c>
      <c r="AF1242" s="72"/>
      <c r="AG1242" s="63" t="s">
        <v>938</v>
      </c>
      <c r="AH1242" s="23" t="s">
        <v>939</v>
      </c>
      <c r="AI1242" s="60"/>
      <c r="AJ1242" s="124" t="s">
        <v>1608</v>
      </c>
      <c r="AK1242" s="121" t="s">
        <v>205</v>
      </c>
      <c r="AL1242" s="107"/>
      <c r="AM1242" s="108"/>
      <c r="AN1242" s="109"/>
      <c r="AO1242" s="108"/>
      <c r="AP1242" s="108"/>
      <c r="AQ1242" s="108"/>
      <c r="AR1242" s="108"/>
      <c r="AS1242" s="108"/>
      <c r="AT1242" s="108"/>
      <c r="AU1242" s="108"/>
      <c r="AV1242" s="108"/>
      <c r="AW1242" s="108"/>
      <c r="AX1242" s="108"/>
      <c r="AY1242" s="108"/>
      <c r="AZ1242" s="108"/>
      <c r="BA1242" s="108"/>
      <c r="BB1242" s="108"/>
      <c r="BC1242" s="108"/>
      <c r="BD1242" s="108"/>
      <c r="BE1242" s="108"/>
      <c r="BF1242" s="108"/>
      <c r="BG1242" s="108"/>
      <c r="BH1242" s="108"/>
      <c r="BI1242" s="108"/>
      <c r="BJ1242" s="108"/>
      <c r="BK1242" s="108"/>
      <c r="BL1242" s="108"/>
      <c r="BM1242" s="108"/>
      <c r="BN1242" s="108"/>
      <c r="BO1242" s="108"/>
      <c r="BP1242" s="108"/>
      <c r="BQ1242" s="108"/>
      <c r="BR1242" s="108"/>
      <c r="BS1242" s="108"/>
      <c r="BT1242" s="108"/>
      <c r="BU1242" s="108"/>
      <c r="BV1242" s="108"/>
      <c r="BW1242" s="108"/>
      <c r="BX1242" s="108"/>
      <c r="BY1242" s="108"/>
      <c r="BZ1242" s="108"/>
      <c r="CA1242" s="108"/>
      <c r="CB1242" s="108"/>
      <c r="CC1242" s="108"/>
      <c r="CD1242" s="108"/>
      <c r="CE1242" s="108"/>
      <c r="CF1242" s="108"/>
      <c r="CG1242" s="108"/>
      <c r="CH1242" s="108"/>
      <c r="CI1242" s="108"/>
      <c r="CJ1242" s="108"/>
      <c r="CK1242" s="108"/>
      <c r="CL1242" s="108"/>
      <c r="CM1242" s="108"/>
      <c r="CN1242" s="110"/>
      <c r="CO1242" s="111"/>
      <c r="CP1242" s="110"/>
      <c r="CQ1242" s="111"/>
      <c r="CR1242" s="110"/>
      <c r="CS1242" s="111"/>
      <c r="CT1242" s="112">
        <f t="shared" si="313"/>
        <v>0</v>
      </c>
      <c r="CU1242" s="113"/>
      <c r="CV1242" s="114"/>
      <c r="CW1242" s="115"/>
      <c r="CX1242" s="116"/>
      <c r="CY1242" s="117"/>
      <c r="CZ1242" s="116"/>
      <c r="DA1242" s="113"/>
      <c r="DB1242" s="114"/>
      <c r="DC1242" s="64"/>
      <c r="DD1242" s="118"/>
    </row>
    <row r="1243" spans="1:108" s="119" customFormat="1" ht="36" outlineLevel="2">
      <c r="A1243" s="178">
        <v>40456</v>
      </c>
      <c r="B1243" s="82" t="s">
        <v>956</v>
      </c>
      <c r="C1243" s="164" t="s">
        <v>584</v>
      </c>
      <c r="D1243" s="166" t="s">
        <v>435</v>
      </c>
      <c r="E1243" s="163"/>
      <c r="F1243" s="105"/>
      <c r="G1243" s="105"/>
      <c r="H1243" s="105">
        <v>220</v>
      </c>
      <c r="I1243" s="105">
        <v>44</v>
      </c>
      <c r="J1243" s="105">
        <v>1</v>
      </c>
      <c r="K1243" s="105">
        <v>43</v>
      </c>
      <c r="L1243" s="105"/>
      <c r="M1243" s="105"/>
      <c r="N1243" s="105"/>
      <c r="O1243" s="105"/>
      <c r="P1243" s="105"/>
      <c r="Q1243" s="105"/>
      <c r="R1243" s="105"/>
      <c r="S1243" s="105"/>
      <c r="T1243" s="106"/>
      <c r="U1243" s="130"/>
      <c r="V1243" s="1"/>
      <c r="W1243" s="68">
        <f t="shared" si="308"/>
        <v>0</v>
      </c>
      <c r="X1243" s="68">
        <f t="shared" si="309"/>
        <v>0</v>
      </c>
      <c r="Y1243" s="68">
        <f t="shared" si="310"/>
        <v>0</v>
      </c>
      <c r="Z1243" s="68">
        <f t="shared" si="311"/>
        <v>0</v>
      </c>
      <c r="AA1243" s="68"/>
      <c r="AB1243" s="68">
        <v>0</v>
      </c>
      <c r="AC1243" s="69">
        <f t="shared" si="312"/>
        <v>0</v>
      </c>
      <c r="AD1243" s="70">
        <v>0</v>
      </c>
      <c r="AE1243" s="63">
        <v>40458</v>
      </c>
      <c r="AF1243" s="72"/>
      <c r="AG1243" s="63" t="s">
        <v>938</v>
      </c>
      <c r="AH1243" s="23" t="s">
        <v>939</v>
      </c>
      <c r="AI1243" s="60"/>
      <c r="AJ1243" s="124" t="s">
        <v>1608</v>
      </c>
      <c r="AK1243" s="121" t="s">
        <v>206</v>
      </c>
      <c r="AL1243" s="107"/>
      <c r="AM1243" s="108"/>
      <c r="AN1243" s="109"/>
      <c r="AO1243" s="108"/>
      <c r="AP1243" s="108"/>
      <c r="AQ1243" s="108"/>
      <c r="AR1243" s="108"/>
      <c r="AS1243" s="108"/>
      <c r="AT1243" s="108"/>
      <c r="AU1243" s="108"/>
      <c r="AV1243" s="108"/>
      <c r="AW1243" s="108"/>
      <c r="AX1243" s="108"/>
      <c r="AY1243" s="108"/>
      <c r="AZ1243" s="108"/>
      <c r="BA1243" s="108"/>
      <c r="BB1243" s="108"/>
      <c r="BC1243" s="108"/>
      <c r="BD1243" s="108"/>
      <c r="BE1243" s="108"/>
      <c r="BF1243" s="108"/>
      <c r="BG1243" s="108"/>
      <c r="BH1243" s="108"/>
      <c r="BI1243" s="108"/>
      <c r="BJ1243" s="108"/>
      <c r="BK1243" s="108"/>
      <c r="BL1243" s="108"/>
      <c r="BM1243" s="108"/>
      <c r="BN1243" s="108"/>
      <c r="BO1243" s="108"/>
      <c r="BP1243" s="108"/>
      <c r="BQ1243" s="108"/>
      <c r="BR1243" s="108"/>
      <c r="BS1243" s="108"/>
      <c r="BT1243" s="108"/>
      <c r="BU1243" s="108"/>
      <c r="BV1243" s="108"/>
      <c r="BW1243" s="108"/>
      <c r="BX1243" s="108"/>
      <c r="BY1243" s="108"/>
      <c r="BZ1243" s="108"/>
      <c r="CA1243" s="108"/>
      <c r="CB1243" s="108"/>
      <c r="CC1243" s="108"/>
      <c r="CD1243" s="108"/>
      <c r="CE1243" s="108"/>
      <c r="CF1243" s="108"/>
      <c r="CG1243" s="108"/>
      <c r="CH1243" s="108"/>
      <c r="CI1243" s="108"/>
      <c r="CJ1243" s="108"/>
      <c r="CK1243" s="108"/>
      <c r="CL1243" s="108"/>
      <c r="CM1243" s="108"/>
      <c r="CN1243" s="110"/>
      <c r="CO1243" s="111"/>
      <c r="CP1243" s="110"/>
      <c r="CQ1243" s="111"/>
      <c r="CR1243" s="110"/>
      <c r="CS1243" s="111"/>
      <c r="CT1243" s="112">
        <f t="shared" si="313"/>
        <v>0</v>
      </c>
      <c r="CU1243" s="113"/>
      <c r="CV1243" s="114"/>
      <c r="CW1243" s="115"/>
      <c r="CX1243" s="116"/>
      <c r="CY1243" s="117"/>
      <c r="CZ1243" s="116"/>
      <c r="DA1243" s="113"/>
      <c r="DB1243" s="114"/>
      <c r="DC1243" s="64"/>
      <c r="DD1243" s="118"/>
    </row>
    <row r="1244" spans="1:108" s="119" customFormat="1" ht="36" outlineLevel="2">
      <c r="A1244" s="178">
        <v>40461</v>
      </c>
      <c r="B1244" s="82" t="s">
        <v>956</v>
      </c>
      <c r="C1244" s="164" t="s">
        <v>584</v>
      </c>
      <c r="D1244" s="166" t="s">
        <v>435</v>
      </c>
      <c r="E1244" s="163"/>
      <c r="F1244" s="105"/>
      <c r="G1244" s="105"/>
      <c r="H1244" s="105">
        <f>16*5</f>
        <v>80</v>
      </c>
      <c r="I1244" s="105">
        <v>16</v>
      </c>
      <c r="J1244" s="105"/>
      <c r="K1244" s="105">
        <v>16</v>
      </c>
      <c r="L1244" s="105"/>
      <c r="M1244" s="105"/>
      <c r="N1244" s="105"/>
      <c r="O1244" s="105"/>
      <c r="P1244" s="105"/>
      <c r="Q1244" s="105"/>
      <c r="R1244" s="105"/>
      <c r="S1244" s="105"/>
      <c r="T1244" s="106"/>
      <c r="U1244" s="130"/>
      <c r="V1244" s="1"/>
      <c r="W1244" s="68">
        <f t="shared" si="308"/>
        <v>0</v>
      </c>
      <c r="X1244" s="68">
        <f t="shared" si="309"/>
        <v>0</v>
      </c>
      <c r="Y1244" s="68">
        <f t="shared" si="310"/>
        <v>0</v>
      </c>
      <c r="Z1244" s="68">
        <f t="shared" si="311"/>
        <v>0</v>
      </c>
      <c r="AA1244" s="68"/>
      <c r="AB1244" s="68">
        <v>0</v>
      </c>
      <c r="AC1244" s="69">
        <f t="shared" si="312"/>
        <v>0</v>
      </c>
      <c r="AD1244" s="70">
        <v>0</v>
      </c>
      <c r="AE1244" s="63">
        <v>40462</v>
      </c>
      <c r="AF1244" s="72"/>
      <c r="AG1244" s="63" t="s">
        <v>938</v>
      </c>
      <c r="AH1244" s="23" t="s">
        <v>939</v>
      </c>
      <c r="AI1244" s="60"/>
      <c r="AJ1244" s="124" t="s">
        <v>1608</v>
      </c>
      <c r="AK1244" s="121" t="s">
        <v>233</v>
      </c>
      <c r="AL1244" s="107"/>
      <c r="AM1244" s="108"/>
      <c r="AN1244" s="109"/>
      <c r="AO1244" s="108"/>
      <c r="AP1244" s="108"/>
      <c r="AQ1244" s="108"/>
      <c r="AR1244" s="108"/>
      <c r="AS1244" s="108"/>
      <c r="AT1244" s="108"/>
      <c r="AU1244" s="108"/>
      <c r="AV1244" s="108"/>
      <c r="AW1244" s="108"/>
      <c r="AX1244" s="108"/>
      <c r="AY1244" s="108"/>
      <c r="AZ1244" s="108"/>
      <c r="BA1244" s="108"/>
      <c r="BB1244" s="108"/>
      <c r="BC1244" s="108"/>
      <c r="BD1244" s="108"/>
      <c r="BE1244" s="108"/>
      <c r="BF1244" s="108"/>
      <c r="BG1244" s="108"/>
      <c r="BH1244" s="108"/>
      <c r="BI1244" s="108"/>
      <c r="BJ1244" s="108"/>
      <c r="BK1244" s="108"/>
      <c r="BL1244" s="108"/>
      <c r="BM1244" s="108"/>
      <c r="BN1244" s="108"/>
      <c r="BO1244" s="108"/>
      <c r="BP1244" s="108"/>
      <c r="BQ1244" s="108"/>
      <c r="BR1244" s="108"/>
      <c r="BS1244" s="108"/>
      <c r="BT1244" s="108"/>
      <c r="BU1244" s="108"/>
      <c r="BV1244" s="108"/>
      <c r="BW1244" s="108"/>
      <c r="BX1244" s="108"/>
      <c r="BY1244" s="108"/>
      <c r="BZ1244" s="108"/>
      <c r="CA1244" s="108"/>
      <c r="CB1244" s="108"/>
      <c r="CC1244" s="108"/>
      <c r="CD1244" s="108"/>
      <c r="CE1244" s="108"/>
      <c r="CF1244" s="108"/>
      <c r="CG1244" s="108"/>
      <c r="CH1244" s="108"/>
      <c r="CI1244" s="108"/>
      <c r="CJ1244" s="108"/>
      <c r="CK1244" s="108"/>
      <c r="CL1244" s="108"/>
      <c r="CM1244" s="108"/>
      <c r="CN1244" s="110"/>
      <c r="CO1244" s="111"/>
      <c r="CP1244" s="110"/>
      <c r="CQ1244" s="111"/>
      <c r="CR1244" s="110"/>
      <c r="CS1244" s="111"/>
      <c r="CT1244" s="112">
        <f t="shared" si="313"/>
        <v>0</v>
      </c>
      <c r="CU1244" s="113"/>
      <c r="CV1244" s="114"/>
      <c r="CW1244" s="115"/>
      <c r="CX1244" s="116"/>
      <c r="CY1244" s="117"/>
      <c r="CZ1244" s="116"/>
      <c r="DA1244" s="113"/>
      <c r="DB1244" s="114"/>
      <c r="DC1244" s="64"/>
      <c r="DD1244" s="118"/>
    </row>
    <row r="1245" spans="1:108" s="119" customFormat="1" ht="45" outlineLevel="2">
      <c r="A1245" s="178">
        <v>40487</v>
      </c>
      <c r="B1245" s="82" t="s">
        <v>956</v>
      </c>
      <c r="C1245" s="164" t="s">
        <v>2379</v>
      </c>
      <c r="D1245" s="165" t="s">
        <v>1182</v>
      </c>
      <c r="E1245" s="163"/>
      <c r="F1245" s="105"/>
      <c r="G1245" s="105"/>
      <c r="H1245" s="105"/>
      <c r="I1245" s="105"/>
      <c r="J1245" s="105"/>
      <c r="K1245" s="105"/>
      <c r="L1245" s="105">
        <v>2</v>
      </c>
      <c r="M1245" s="105"/>
      <c r="N1245" s="105"/>
      <c r="O1245" s="105">
        <v>1</v>
      </c>
      <c r="P1245" s="105"/>
      <c r="Q1245" s="105"/>
      <c r="R1245" s="105"/>
      <c r="S1245" s="105"/>
      <c r="T1245" s="106"/>
      <c r="U1245" s="130"/>
      <c r="V1245" s="1"/>
      <c r="W1245" s="68">
        <f t="shared" si="308"/>
        <v>0</v>
      </c>
      <c r="X1245" s="68">
        <f t="shared" si="309"/>
        <v>0</v>
      </c>
      <c r="Y1245" s="68">
        <f t="shared" si="310"/>
        <v>0</v>
      </c>
      <c r="Z1245" s="68">
        <f t="shared" si="311"/>
        <v>0</v>
      </c>
      <c r="AA1245" s="68"/>
      <c r="AB1245" s="68">
        <v>0</v>
      </c>
      <c r="AC1245" s="69">
        <f t="shared" si="312"/>
        <v>0</v>
      </c>
      <c r="AD1245" s="70">
        <v>5000000</v>
      </c>
      <c r="AE1245" s="63">
        <v>40490</v>
      </c>
      <c r="AF1245" s="72"/>
      <c r="AG1245" s="63" t="s">
        <v>954</v>
      </c>
      <c r="AH1245" s="23" t="s">
        <v>955</v>
      </c>
      <c r="AI1245" s="60"/>
      <c r="AJ1245" s="133" t="s">
        <v>415</v>
      </c>
      <c r="AK1245" s="121" t="s">
        <v>469</v>
      </c>
      <c r="AL1245" s="107"/>
      <c r="AM1245" s="108"/>
      <c r="AN1245" s="109"/>
      <c r="AO1245" s="108"/>
      <c r="AP1245" s="108"/>
      <c r="AQ1245" s="108"/>
      <c r="AR1245" s="108"/>
      <c r="AS1245" s="108"/>
      <c r="AT1245" s="108"/>
      <c r="AU1245" s="108"/>
      <c r="AV1245" s="108"/>
      <c r="AW1245" s="108"/>
      <c r="AX1245" s="108"/>
      <c r="AY1245" s="108"/>
      <c r="AZ1245" s="108"/>
      <c r="BA1245" s="108"/>
      <c r="BB1245" s="108"/>
      <c r="BC1245" s="108"/>
      <c r="BD1245" s="108"/>
      <c r="BE1245" s="108"/>
      <c r="BF1245" s="108"/>
      <c r="BG1245" s="108"/>
      <c r="BH1245" s="108"/>
      <c r="BI1245" s="108"/>
      <c r="BJ1245" s="108"/>
      <c r="BK1245" s="108"/>
      <c r="BL1245" s="108"/>
      <c r="BM1245" s="108"/>
      <c r="BN1245" s="108"/>
      <c r="BO1245" s="108"/>
      <c r="BP1245" s="108"/>
      <c r="BQ1245" s="108"/>
      <c r="BR1245" s="108"/>
      <c r="BS1245" s="108"/>
      <c r="BT1245" s="108"/>
      <c r="BU1245" s="108"/>
      <c r="BV1245" s="108"/>
      <c r="BW1245" s="108"/>
      <c r="BX1245" s="108"/>
      <c r="BY1245" s="108"/>
      <c r="BZ1245" s="108"/>
      <c r="CA1245" s="108"/>
      <c r="CB1245" s="108"/>
      <c r="CC1245" s="108"/>
      <c r="CD1245" s="108"/>
      <c r="CE1245" s="108"/>
      <c r="CF1245" s="108"/>
      <c r="CG1245" s="108"/>
      <c r="CH1245" s="108"/>
      <c r="CI1245" s="108"/>
      <c r="CJ1245" s="108"/>
      <c r="CK1245" s="108"/>
      <c r="CL1245" s="108"/>
      <c r="CM1245" s="108"/>
      <c r="CN1245" s="110"/>
      <c r="CO1245" s="111"/>
      <c r="CP1245" s="110"/>
      <c r="CQ1245" s="111"/>
      <c r="CR1245" s="110"/>
      <c r="CS1245" s="111"/>
      <c r="CT1245" s="112">
        <f t="shared" si="313"/>
        <v>0</v>
      </c>
      <c r="CU1245" s="113"/>
      <c r="CV1245" s="114"/>
      <c r="CW1245" s="115"/>
      <c r="CX1245" s="116"/>
      <c r="CY1245" s="117"/>
      <c r="CZ1245" s="116"/>
      <c r="DA1245" s="113"/>
      <c r="DB1245" s="114"/>
      <c r="DC1245" s="64"/>
      <c r="DD1245" s="118"/>
    </row>
    <row r="1246" spans="1:108" s="119" customFormat="1" ht="24" outlineLevel="2">
      <c r="A1246" s="178">
        <v>40487</v>
      </c>
      <c r="B1246" s="82" t="s">
        <v>956</v>
      </c>
      <c r="C1246" s="164" t="s">
        <v>1052</v>
      </c>
      <c r="D1246" s="166" t="s">
        <v>435</v>
      </c>
      <c r="E1246" s="163"/>
      <c r="F1246" s="105"/>
      <c r="G1246" s="105"/>
      <c r="H1246" s="105">
        <v>10</v>
      </c>
      <c r="I1246" s="105">
        <v>3</v>
      </c>
      <c r="J1246" s="105"/>
      <c r="K1246" s="105">
        <v>3</v>
      </c>
      <c r="L1246" s="105"/>
      <c r="M1246" s="105"/>
      <c r="N1246" s="105"/>
      <c r="O1246" s="105"/>
      <c r="P1246" s="105"/>
      <c r="Q1246" s="105"/>
      <c r="R1246" s="105"/>
      <c r="S1246" s="105"/>
      <c r="T1246" s="106"/>
      <c r="U1246" s="130"/>
      <c r="V1246" s="1"/>
      <c r="W1246" s="68">
        <f t="shared" si="308"/>
        <v>0</v>
      </c>
      <c r="X1246" s="68">
        <f t="shared" si="309"/>
        <v>0</v>
      </c>
      <c r="Y1246" s="68">
        <f t="shared" si="310"/>
        <v>0</v>
      </c>
      <c r="Z1246" s="68">
        <f t="shared" si="311"/>
        <v>0</v>
      </c>
      <c r="AA1246" s="68"/>
      <c r="AB1246" s="68">
        <v>0</v>
      </c>
      <c r="AC1246" s="69">
        <f t="shared" si="312"/>
        <v>0</v>
      </c>
      <c r="AD1246" s="70">
        <v>0</v>
      </c>
      <c r="AE1246" s="63">
        <v>40490</v>
      </c>
      <c r="AF1246" s="72"/>
      <c r="AG1246" s="63" t="s">
        <v>938</v>
      </c>
      <c r="AH1246" s="23" t="s">
        <v>939</v>
      </c>
      <c r="AI1246" s="60"/>
      <c r="AJ1246" s="124" t="s">
        <v>1608</v>
      </c>
      <c r="AK1246" s="121" t="s">
        <v>459</v>
      </c>
      <c r="AL1246" s="107"/>
      <c r="AM1246" s="108"/>
      <c r="AN1246" s="109"/>
      <c r="AO1246" s="108"/>
      <c r="AP1246" s="108"/>
      <c r="AQ1246" s="108"/>
      <c r="AR1246" s="108"/>
      <c r="AS1246" s="108"/>
      <c r="AT1246" s="108"/>
      <c r="AU1246" s="108"/>
      <c r="AV1246" s="108"/>
      <c r="AW1246" s="108"/>
      <c r="AX1246" s="108"/>
      <c r="AY1246" s="108"/>
      <c r="AZ1246" s="108"/>
      <c r="BA1246" s="108"/>
      <c r="BB1246" s="108"/>
      <c r="BC1246" s="108"/>
      <c r="BD1246" s="108"/>
      <c r="BE1246" s="108"/>
      <c r="BF1246" s="108"/>
      <c r="BG1246" s="108"/>
      <c r="BH1246" s="108"/>
      <c r="BI1246" s="108"/>
      <c r="BJ1246" s="108"/>
      <c r="BK1246" s="108"/>
      <c r="BL1246" s="108"/>
      <c r="BM1246" s="108"/>
      <c r="BN1246" s="108"/>
      <c r="BO1246" s="108"/>
      <c r="BP1246" s="108"/>
      <c r="BQ1246" s="108"/>
      <c r="BR1246" s="108"/>
      <c r="BS1246" s="108"/>
      <c r="BT1246" s="108"/>
      <c r="BU1246" s="108"/>
      <c r="BV1246" s="108"/>
      <c r="BW1246" s="108"/>
      <c r="BX1246" s="108"/>
      <c r="BY1246" s="108"/>
      <c r="BZ1246" s="108"/>
      <c r="CA1246" s="108"/>
      <c r="CB1246" s="108"/>
      <c r="CC1246" s="108"/>
      <c r="CD1246" s="108"/>
      <c r="CE1246" s="108"/>
      <c r="CF1246" s="108"/>
      <c r="CG1246" s="108"/>
      <c r="CH1246" s="108"/>
      <c r="CI1246" s="108"/>
      <c r="CJ1246" s="108"/>
      <c r="CK1246" s="108"/>
      <c r="CL1246" s="108"/>
      <c r="CM1246" s="108"/>
      <c r="CN1246" s="110"/>
      <c r="CO1246" s="111"/>
      <c r="CP1246" s="110"/>
      <c r="CQ1246" s="111"/>
      <c r="CR1246" s="110"/>
      <c r="CS1246" s="111"/>
      <c r="CT1246" s="112">
        <f t="shared" si="313"/>
        <v>0</v>
      </c>
      <c r="CU1246" s="113"/>
      <c r="CV1246" s="114"/>
      <c r="CW1246" s="115"/>
      <c r="CX1246" s="116"/>
      <c r="CY1246" s="117"/>
      <c r="CZ1246" s="116"/>
      <c r="DA1246" s="113"/>
      <c r="DB1246" s="114"/>
      <c r="DC1246" s="64"/>
      <c r="DD1246" s="118"/>
    </row>
    <row r="1247" spans="1:108" s="119" customFormat="1" ht="24" outlineLevel="2">
      <c r="A1247" s="178">
        <v>40488</v>
      </c>
      <c r="B1247" s="82" t="s">
        <v>956</v>
      </c>
      <c r="C1247" s="164" t="s">
        <v>584</v>
      </c>
      <c r="D1247" s="165" t="s">
        <v>1182</v>
      </c>
      <c r="E1247" s="163"/>
      <c r="F1247" s="105"/>
      <c r="G1247" s="105"/>
      <c r="H1247" s="105"/>
      <c r="I1247" s="105"/>
      <c r="J1247" s="105"/>
      <c r="K1247" s="105"/>
      <c r="L1247" s="105">
        <v>1</v>
      </c>
      <c r="M1247" s="105"/>
      <c r="N1247" s="105"/>
      <c r="O1247" s="105"/>
      <c r="P1247" s="105"/>
      <c r="Q1247" s="105"/>
      <c r="R1247" s="105"/>
      <c r="S1247" s="105"/>
      <c r="T1247" s="106"/>
      <c r="U1247" s="130"/>
      <c r="V1247" s="1"/>
      <c r="W1247" s="68">
        <f t="shared" si="308"/>
        <v>0</v>
      </c>
      <c r="X1247" s="68">
        <f t="shared" si="309"/>
        <v>0</v>
      </c>
      <c r="Y1247" s="68">
        <f t="shared" si="310"/>
        <v>0</v>
      </c>
      <c r="Z1247" s="68">
        <f t="shared" si="311"/>
        <v>0</v>
      </c>
      <c r="AA1247" s="68"/>
      <c r="AB1247" s="68">
        <v>0</v>
      </c>
      <c r="AC1247" s="69">
        <f t="shared" si="312"/>
        <v>0</v>
      </c>
      <c r="AD1247" s="70">
        <v>0</v>
      </c>
      <c r="AE1247" s="63">
        <v>40490</v>
      </c>
      <c r="AF1247" s="72"/>
      <c r="AG1247" s="63" t="s">
        <v>938</v>
      </c>
      <c r="AH1247" s="23" t="s">
        <v>939</v>
      </c>
      <c r="AI1247" s="60"/>
      <c r="AJ1247" s="124" t="s">
        <v>1608</v>
      </c>
      <c r="AK1247" s="121" t="s">
        <v>470</v>
      </c>
      <c r="AL1247" s="107"/>
      <c r="AM1247" s="108"/>
      <c r="AN1247" s="109"/>
      <c r="AO1247" s="108"/>
      <c r="AP1247" s="108"/>
      <c r="AQ1247" s="108"/>
      <c r="AR1247" s="108"/>
      <c r="AS1247" s="108"/>
      <c r="AT1247" s="108"/>
      <c r="AU1247" s="108"/>
      <c r="AV1247" s="108"/>
      <c r="AW1247" s="108"/>
      <c r="AX1247" s="108"/>
      <c r="AY1247" s="108"/>
      <c r="AZ1247" s="108"/>
      <c r="BA1247" s="108"/>
      <c r="BB1247" s="108"/>
      <c r="BC1247" s="108"/>
      <c r="BD1247" s="108"/>
      <c r="BE1247" s="108"/>
      <c r="BF1247" s="108"/>
      <c r="BG1247" s="108"/>
      <c r="BH1247" s="108"/>
      <c r="BI1247" s="108"/>
      <c r="BJ1247" s="108"/>
      <c r="BK1247" s="108"/>
      <c r="BL1247" s="108"/>
      <c r="BM1247" s="108"/>
      <c r="BN1247" s="108"/>
      <c r="BO1247" s="108"/>
      <c r="BP1247" s="108"/>
      <c r="BQ1247" s="108"/>
      <c r="BR1247" s="108"/>
      <c r="BS1247" s="108"/>
      <c r="BT1247" s="108"/>
      <c r="BU1247" s="108"/>
      <c r="BV1247" s="108"/>
      <c r="BW1247" s="108"/>
      <c r="BX1247" s="108"/>
      <c r="BY1247" s="108"/>
      <c r="BZ1247" s="108"/>
      <c r="CA1247" s="108"/>
      <c r="CB1247" s="108"/>
      <c r="CC1247" s="108"/>
      <c r="CD1247" s="108"/>
      <c r="CE1247" s="108"/>
      <c r="CF1247" s="108"/>
      <c r="CG1247" s="108"/>
      <c r="CH1247" s="108"/>
      <c r="CI1247" s="108"/>
      <c r="CJ1247" s="108"/>
      <c r="CK1247" s="108"/>
      <c r="CL1247" s="108"/>
      <c r="CM1247" s="108"/>
      <c r="CN1247" s="110"/>
      <c r="CO1247" s="111"/>
      <c r="CP1247" s="110"/>
      <c r="CQ1247" s="111"/>
      <c r="CR1247" s="110"/>
      <c r="CS1247" s="111"/>
      <c r="CT1247" s="112">
        <f t="shared" si="313"/>
        <v>0</v>
      </c>
      <c r="CU1247" s="113"/>
      <c r="CV1247" s="114"/>
      <c r="CW1247" s="115"/>
      <c r="CX1247" s="116"/>
      <c r="CY1247" s="117"/>
      <c r="CZ1247" s="116"/>
      <c r="DA1247" s="113"/>
      <c r="DB1247" s="114"/>
      <c r="DC1247" s="64"/>
      <c r="DD1247" s="118"/>
    </row>
    <row r="1248" spans="1:108" s="119" customFormat="1" outlineLevel="2">
      <c r="A1248" s="178">
        <v>40489</v>
      </c>
      <c r="B1248" s="82" t="s">
        <v>956</v>
      </c>
      <c r="C1248" s="164" t="s">
        <v>584</v>
      </c>
      <c r="D1248" s="165" t="s">
        <v>1182</v>
      </c>
      <c r="E1248" s="163"/>
      <c r="F1248" s="105"/>
      <c r="G1248" s="105"/>
      <c r="H1248" s="105">
        <v>7</v>
      </c>
      <c r="I1248" s="105">
        <v>1</v>
      </c>
      <c r="J1248" s="105"/>
      <c r="K1248" s="105">
        <v>1</v>
      </c>
      <c r="L1248" s="105"/>
      <c r="M1248" s="105"/>
      <c r="N1248" s="105"/>
      <c r="O1248" s="105"/>
      <c r="P1248" s="105"/>
      <c r="Q1248" s="105"/>
      <c r="R1248" s="105"/>
      <c r="S1248" s="105"/>
      <c r="T1248" s="106"/>
      <c r="U1248" s="130"/>
      <c r="V1248" s="1"/>
      <c r="W1248" s="68">
        <f t="shared" si="308"/>
        <v>0</v>
      </c>
      <c r="X1248" s="68">
        <f t="shared" si="309"/>
        <v>0</v>
      </c>
      <c r="Y1248" s="68">
        <f t="shared" si="310"/>
        <v>0</v>
      </c>
      <c r="Z1248" s="68">
        <f t="shared" si="311"/>
        <v>0</v>
      </c>
      <c r="AA1248" s="68"/>
      <c r="AB1248" s="68">
        <v>0</v>
      </c>
      <c r="AC1248" s="69">
        <f t="shared" si="312"/>
        <v>0</v>
      </c>
      <c r="AD1248" s="70">
        <v>0</v>
      </c>
      <c r="AE1248" s="63">
        <v>40491</v>
      </c>
      <c r="AF1248" s="72"/>
      <c r="AG1248" s="63" t="s">
        <v>938</v>
      </c>
      <c r="AH1248" s="23" t="s">
        <v>939</v>
      </c>
      <c r="AI1248" s="60"/>
      <c r="AJ1248" s="124" t="s">
        <v>1608</v>
      </c>
      <c r="AK1248" s="121" t="s">
        <v>493</v>
      </c>
      <c r="AL1248" s="107"/>
      <c r="AM1248" s="108"/>
      <c r="AN1248" s="109"/>
      <c r="AO1248" s="108"/>
      <c r="AP1248" s="108"/>
      <c r="AQ1248" s="108"/>
      <c r="AR1248" s="108"/>
      <c r="AS1248" s="108"/>
      <c r="AT1248" s="108"/>
      <c r="AU1248" s="108"/>
      <c r="AV1248" s="108"/>
      <c r="AW1248" s="108"/>
      <c r="AX1248" s="108"/>
      <c r="AY1248" s="108"/>
      <c r="AZ1248" s="108"/>
      <c r="BA1248" s="108"/>
      <c r="BB1248" s="108"/>
      <c r="BC1248" s="108"/>
      <c r="BD1248" s="108"/>
      <c r="BE1248" s="108"/>
      <c r="BF1248" s="108"/>
      <c r="BG1248" s="108"/>
      <c r="BH1248" s="108"/>
      <c r="BI1248" s="108"/>
      <c r="BJ1248" s="108"/>
      <c r="BK1248" s="108"/>
      <c r="BL1248" s="108"/>
      <c r="BM1248" s="108"/>
      <c r="BN1248" s="108"/>
      <c r="BO1248" s="108"/>
      <c r="BP1248" s="108"/>
      <c r="BQ1248" s="108"/>
      <c r="BR1248" s="108"/>
      <c r="BS1248" s="108"/>
      <c r="BT1248" s="108"/>
      <c r="BU1248" s="108"/>
      <c r="BV1248" s="108"/>
      <c r="BW1248" s="108"/>
      <c r="BX1248" s="108"/>
      <c r="BY1248" s="108"/>
      <c r="BZ1248" s="108"/>
      <c r="CA1248" s="108"/>
      <c r="CB1248" s="108"/>
      <c r="CC1248" s="108"/>
      <c r="CD1248" s="108"/>
      <c r="CE1248" s="108"/>
      <c r="CF1248" s="108"/>
      <c r="CG1248" s="108"/>
      <c r="CH1248" s="108"/>
      <c r="CI1248" s="108"/>
      <c r="CJ1248" s="108"/>
      <c r="CK1248" s="108"/>
      <c r="CL1248" s="108"/>
      <c r="CM1248" s="108"/>
      <c r="CN1248" s="110"/>
      <c r="CO1248" s="111"/>
      <c r="CP1248" s="110"/>
      <c r="CQ1248" s="111"/>
      <c r="CR1248" s="110"/>
      <c r="CS1248" s="111"/>
      <c r="CT1248" s="112">
        <f t="shared" si="313"/>
        <v>0</v>
      </c>
      <c r="CU1248" s="113"/>
      <c r="CV1248" s="114"/>
      <c r="CW1248" s="115"/>
      <c r="CX1248" s="116"/>
      <c r="CY1248" s="117"/>
      <c r="CZ1248" s="116"/>
      <c r="DA1248" s="113"/>
      <c r="DB1248" s="114"/>
      <c r="DC1248" s="64"/>
      <c r="DD1248" s="118"/>
    </row>
    <row r="1249" spans="1:108" s="119" customFormat="1" ht="24" outlineLevel="2">
      <c r="A1249" s="178">
        <v>40489</v>
      </c>
      <c r="B1249" s="82" t="s">
        <v>956</v>
      </c>
      <c r="C1249" s="164" t="s">
        <v>1529</v>
      </c>
      <c r="D1249" s="166" t="s">
        <v>1262</v>
      </c>
      <c r="E1249" s="163"/>
      <c r="F1249" s="105"/>
      <c r="G1249" s="105">
        <v>1</v>
      </c>
      <c r="H1249" s="105"/>
      <c r="I1249" s="105"/>
      <c r="J1249" s="105"/>
      <c r="K1249" s="105"/>
      <c r="L1249" s="105"/>
      <c r="M1249" s="105"/>
      <c r="N1249" s="105"/>
      <c r="O1249" s="105"/>
      <c r="P1249" s="105"/>
      <c r="Q1249" s="105"/>
      <c r="R1249" s="105"/>
      <c r="S1249" s="105"/>
      <c r="T1249" s="106"/>
      <c r="U1249" s="130"/>
      <c r="V1249" s="1"/>
      <c r="W1249" s="68">
        <f t="shared" si="308"/>
        <v>0</v>
      </c>
      <c r="X1249" s="68">
        <f t="shared" si="309"/>
        <v>0</v>
      </c>
      <c r="Y1249" s="68">
        <f t="shared" si="310"/>
        <v>0</v>
      </c>
      <c r="Z1249" s="68">
        <f t="shared" si="311"/>
        <v>0</v>
      </c>
      <c r="AA1249" s="68"/>
      <c r="AB1249" s="68">
        <v>0</v>
      </c>
      <c r="AC1249" s="69">
        <f t="shared" si="312"/>
        <v>0</v>
      </c>
      <c r="AD1249" s="70">
        <v>0</v>
      </c>
      <c r="AE1249" s="63">
        <v>40494</v>
      </c>
      <c r="AF1249" s="72"/>
      <c r="AG1249" s="63" t="s">
        <v>938</v>
      </c>
      <c r="AH1249" s="23" t="s">
        <v>939</v>
      </c>
      <c r="AI1249" s="60"/>
      <c r="AJ1249" s="124" t="s">
        <v>1608</v>
      </c>
      <c r="AK1249" s="121" t="s">
        <v>604</v>
      </c>
      <c r="AL1249" s="107"/>
      <c r="AM1249" s="108"/>
      <c r="AN1249" s="109"/>
      <c r="AO1249" s="108"/>
      <c r="AP1249" s="108"/>
      <c r="AQ1249" s="108"/>
      <c r="AR1249" s="108"/>
      <c r="AS1249" s="108"/>
      <c r="AT1249" s="108"/>
      <c r="AU1249" s="108"/>
      <c r="AV1249" s="108"/>
      <c r="AW1249" s="108"/>
      <c r="AX1249" s="108"/>
      <c r="AY1249" s="108"/>
      <c r="AZ1249" s="108"/>
      <c r="BA1249" s="108"/>
      <c r="BB1249" s="108"/>
      <c r="BC1249" s="108"/>
      <c r="BD1249" s="108"/>
      <c r="BE1249" s="108"/>
      <c r="BF1249" s="108"/>
      <c r="BG1249" s="108"/>
      <c r="BH1249" s="108"/>
      <c r="BI1249" s="108"/>
      <c r="BJ1249" s="108"/>
      <c r="BK1249" s="108"/>
      <c r="BL1249" s="108"/>
      <c r="BM1249" s="108"/>
      <c r="BN1249" s="108"/>
      <c r="BO1249" s="108"/>
      <c r="BP1249" s="108"/>
      <c r="BQ1249" s="108"/>
      <c r="BR1249" s="108"/>
      <c r="BS1249" s="108"/>
      <c r="BT1249" s="108"/>
      <c r="BU1249" s="108"/>
      <c r="BV1249" s="108"/>
      <c r="BW1249" s="108"/>
      <c r="BX1249" s="108"/>
      <c r="BY1249" s="108"/>
      <c r="BZ1249" s="108"/>
      <c r="CA1249" s="108"/>
      <c r="CB1249" s="108"/>
      <c r="CC1249" s="108"/>
      <c r="CD1249" s="108"/>
      <c r="CE1249" s="108"/>
      <c r="CF1249" s="108"/>
      <c r="CG1249" s="108"/>
      <c r="CH1249" s="108"/>
      <c r="CI1249" s="108"/>
      <c r="CJ1249" s="108"/>
      <c r="CK1249" s="108"/>
      <c r="CL1249" s="108"/>
      <c r="CM1249" s="108"/>
      <c r="CN1249" s="110"/>
      <c r="CO1249" s="111"/>
      <c r="CP1249" s="110"/>
      <c r="CQ1249" s="111"/>
      <c r="CR1249" s="110"/>
      <c r="CS1249" s="111"/>
      <c r="CT1249" s="112">
        <f t="shared" si="313"/>
        <v>0</v>
      </c>
      <c r="CU1249" s="113"/>
      <c r="CV1249" s="114"/>
      <c r="CW1249" s="115"/>
      <c r="CX1249" s="116"/>
      <c r="CY1249" s="117"/>
      <c r="CZ1249" s="116"/>
      <c r="DA1249" s="113"/>
      <c r="DB1249" s="114"/>
      <c r="DC1249" s="64"/>
      <c r="DD1249" s="118"/>
    </row>
    <row r="1250" spans="1:108" s="119" customFormat="1" ht="60" outlineLevel="2">
      <c r="A1250" s="178">
        <v>40492</v>
      </c>
      <c r="B1250" s="82" t="s">
        <v>956</v>
      </c>
      <c r="C1250" s="164" t="s">
        <v>553</v>
      </c>
      <c r="D1250" s="166" t="s">
        <v>1262</v>
      </c>
      <c r="E1250" s="163"/>
      <c r="F1250" s="105"/>
      <c r="G1250" s="105"/>
      <c r="H1250" s="105">
        <v>14160</v>
      </c>
      <c r="I1250" s="105">
        <v>2832</v>
      </c>
      <c r="J1250" s="105"/>
      <c r="K1250" s="105">
        <v>2832</v>
      </c>
      <c r="L1250" s="105"/>
      <c r="M1250" s="105"/>
      <c r="N1250" s="105"/>
      <c r="O1250" s="105">
        <v>1</v>
      </c>
      <c r="P1250" s="105"/>
      <c r="Q1250" s="105"/>
      <c r="R1250" s="105"/>
      <c r="S1250" s="105"/>
      <c r="T1250" s="106"/>
      <c r="U1250" s="130"/>
      <c r="V1250" s="1"/>
      <c r="W1250" s="68">
        <f t="shared" si="308"/>
        <v>0</v>
      </c>
      <c r="X1250" s="68">
        <f t="shared" si="309"/>
        <v>0</v>
      </c>
      <c r="Y1250" s="68">
        <f t="shared" si="310"/>
        <v>0</v>
      </c>
      <c r="Z1250" s="68">
        <f t="shared" si="311"/>
        <v>0</v>
      </c>
      <c r="AA1250" s="68"/>
      <c r="AB1250" s="68">
        <v>0</v>
      </c>
      <c r="AC1250" s="69">
        <f t="shared" si="312"/>
        <v>0</v>
      </c>
      <c r="AD1250" s="70">
        <v>0</v>
      </c>
      <c r="AE1250" s="63">
        <v>40492</v>
      </c>
      <c r="AF1250" s="72"/>
      <c r="AG1250" s="63" t="s">
        <v>954</v>
      </c>
      <c r="AH1250" s="23" t="s">
        <v>955</v>
      </c>
      <c r="AI1250" s="60"/>
      <c r="AJ1250" s="124" t="s">
        <v>52</v>
      </c>
      <c r="AK1250" s="121" t="s">
        <v>712</v>
      </c>
      <c r="AL1250" s="107"/>
      <c r="AM1250" s="108"/>
      <c r="AN1250" s="109"/>
      <c r="AO1250" s="108"/>
      <c r="AP1250" s="108"/>
      <c r="AQ1250" s="108"/>
      <c r="AR1250" s="108"/>
      <c r="AS1250" s="108"/>
      <c r="AT1250" s="108"/>
      <c r="AU1250" s="108"/>
      <c r="AV1250" s="108"/>
      <c r="AW1250" s="108"/>
      <c r="AX1250" s="108"/>
      <c r="AY1250" s="108"/>
      <c r="AZ1250" s="108"/>
      <c r="BA1250" s="108"/>
      <c r="BB1250" s="108"/>
      <c r="BC1250" s="108"/>
      <c r="BD1250" s="108"/>
      <c r="BE1250" s="108"/>
      <c r="BF1250" s="108"/>
      <c r="BG1250" s="108"/>
      <c r="BH1250" s="108"/>
      <c r="BI1250" s="108"/>
      <c r="BJ1250" s="108"/>
      <c r="BK1250" s="108"/>
      <c r="BL1250" s="108"/>
      <c r="BM1250" s="108"/>
      <c r="BN1250" s="108"/>
      <c r="BO1250" s="108"/>
      <c r="BP1250" s="108"/>
      <c r="BQ1250" s="108"/>
      <c r="BR1250" s="108"/>
      <c r="BS1250" s="108"/>
      <c r="BT1250" s="108"/>
      <c r="BU1250" s="108"/>
      <c r="BV1250" s="108"/>
      <c r="BW1250" s="108"/>
      <c r="BX1250" s="108"/>
      <c r="BY1250" s="108"/>
      <c r="BZ1250" s="108"/>
      <c r="CA1250" s="108"/>
      <c r="CB1250" s="108"/>
      <c r="CC1250" s="108"/>
      <c r="CD1250" s="108"/>
      <c r="CE1250" s="108"/>
      <c r="CF1250" s="108"/>
      <c r="CG1250" s="108"/>
      <c r="CH1250" s="108"/>
      <c r="CI1250" s="108"/>
      <c r="CJ1250" s="108"/>
      <c r="CK1250" s="108"/>
      <c r="CL1250" s="108"/>
      <c r="CM1250" s="108"/>
      <c r="CN1250" s="110"/>
      <c r="CO1250" s="111"/>
      <c r="CP1250" s="110"/>
      <c r="CQ1250" s="111"/>
      <c r="CR1250" s="110"/>
      <c r="CS1250" s="111"/>
      <c r="CT1250" s="112">
        <f t="shared" si="313"/>
        <v>0</v>
      </c>
      <c r="CU1250" s="113"/>
      <c r="CV1250" s="114"/>
      <c r="CW1250" s="115"/>
      <c r="CX1250" s="116"/>
      <c r="CY1250" s="117"/>
      <c r="CZ1250" s="116"/>
      <c r="DA1250" s="113"/>
      <c r="DB1250" s="114"/>
      <c r="DC1250" s="64"/>
      <c r="DD1250" s="118"/>
    </row>
    <row r="1251" spans="1:108" s="119" customFormat="1" ht="22.5" outlineLevel="2">
      <c r="A1251" s="178">
        <v>40493</v>
      </c>
      <c r="B1251" s="82" t="s">
        <v>956</v>
      </c>
      <c r="C1251" s="164" t="s">
        <v>416</v>
      </c>
      <c r="D1251" s="165" t="s">
        <v>1182</v>
      </c>
      <c r="E1251" s="163"/>
      <c r="F1251" s="105"/>
      <c r="G1251" s="105"/>
      <c r="H1251" s="105"/>
      <c r="I1251" s="105"/>
      <c r="J1251" s="105"/>
      <c r="K1251" s="105"/>
      <c r="L1251" s="105"/>
      <c r="M1251" s="105"/>
      <c r="N1251" s="105"/>
      <c r="O1251" s="105">
        <v>1</v>
      </c>
      <c r="P1251" s="105"/>
      <c r="Q1251" s="105"/>
      <c r="R1251" s="105"/>
      <c r="S1251" s="105"/>
      <c r="T1251" s="106"/>
      <c r="U1251" s="130"/>
      <c r="V1251" s="1"/>
      <c r="W1251" s="68">
        <f t="shared" si="308"/>
        <v>0</v>
      </c>
      <c r="X1251" s="68">
        <f t="shared" si="309"/>
        <v>0</v>
      </c>
      <c r="Y1251" s="68">
        <f t="shared" si="310"/>
        <v>0</v>
      </c>
      <c r="Z1251" s="68">
        <f t="shared" si="311"/>
        <v>0</v>
      </c>
      <c r="AA1251" s="68"/>
      <c r="AB1251" s="68">
        <v>0</v>
      </c>
      <c r="AC1251" s="69">
        <f t="shared" si="312"/>
        <v>0</v>
      </c>
      <c r="AD1251" s="70">
        <v>0</v>
      </c>
      <c r="AE1251" s="63">
        <v>40494</v>
      </c>
      <c r="AF1251" s="72"/>
      <c r="AG1251" s="63" t="s">
        <v>938</v>
      </c>
      <c r="AH1251" s="23" t="s">
        <v>939</v>
      </c>
      <c r="AI1251" s="60"/>
      <c r="AJ1251" s="124" t="s">
        <v>1608</v>
      </c>
      <c r="AK1251" s="121" t="s">
        <v>612</v>
      </c>
      <c r="AL1251" s="107"/>
      <c r="AM1251" s="108"/>
      <c r="AN1251" s="109"/>
      <c r="AO1251" s="108"/>
      <c r="AP1251" s="108"/>
      <c r="AQ1251" s="108"/>
      <c r="AR1251" s="108"/>
      <c r="AS1251" s="108"/>
      <c r="AT1251" s="108"/>
      <c r="AU1251" s="108"/>
      <c r="AV1251" s="108"/>
      <c r="AW1251" s="108"/>
      <c r="AX1251" s="108"/>
      <c r="AY1251" s="108"/>
      <c r="AZ1251" s="108"/>
      <c r="BA1251" s="108"/>
      <c r="BB1251" s="108"/>
      <c r="BC1251" s="108"/>
      <c r="BD1251" s="108"/>
      <c r="BE1251" s="108"/>
      <c r="BF1251" s="108"/>
      <c r="BG1251" s="108"/>
      <c r="BH1251" s="108"/>
      <c r="BI1251" s="108"/>
      <c r="BJ1251" s="108"/>
      <c r="BK1251" s="108"/>
      <c r="BL1251" s="108"/>
      <c r="BM1251" s="108"/>
      <c r="BN1251" s="108"/>
      <c r="BO1251" s="108"/>
      <c r="BP1251" s="108"/>
      <c r="BQ1251" s="108"/>
      <c r="BR1251" s="108"/>
      <c r="BS1251" s="108"/>
      <c r="BT1251" s="108"/>
      <c r="BU1251" s="108"/>
      <c r="BV1251" s="108"/>
      <c r="BW1251" s="108"/>
      <c r="BX1251" s="108"/>
      <c r="BY1251" s="108"/>
      <c r="BZ1251" s="108"/>
      <c r="CA1251" s="108"/>
      <c r="CB1251" s="108"/>
      <c r="CC1251" s="108"/>
      <c r="CD1251" s="108"/>
      <c r="CE1251" s="108"/>
      <c r="CF1251" s="108"/>
      <c r="CG1251" s="108"/>
      <c r="CH1251" s="108"/>
      <c r="CI1251" s="108"/>
      <c r="CJ1251" s="108"/>
      <c r="CK1251" s="108"/>
      <c r="CL1251" s="108"/>
      <c r="CM1251" s="108"/>
      <c r="CN1251" s="110"/>
      <c r="CO1251" s="111"/>
      <c r="CP1251" s="110"/>
      <c r="CQ1251" s="111"/>
      <c r="CR1251" s="110"/>
      <c r="CS1251" s="111"/>
      <c r="CT1251" s="112">
        <f t="shared" si="313"/>
        <v>0</v>
      </c>
      <c r="CU1251" s="113"/>
      <c r="CV1251" s="114"/>
      <c r="CW1251" s="115"/>
      <c r="CX1251" s="116"/>
      <c r="CY1251" s="117"/>
      <c r="CZ1251" s="116"/>
      <c r="DA1251" s="113"/>
      <c r="DB1251" s="114"/>
      <c r="DC1251" s="64"/>
      <c r="DD1251" s="118"/>
    </row>
    <row r="1252" spans="1:108" s="119" customFormat="1" ht="108" outlineLevel="2">
      <c r="A1252" s="178">
        <v>40493</v>
      </c>
      <c r="B1252" s="82" t="s">
        <v>956</v>
      </c>
      <c r="C1252" s="164" t="s">
        <v>425</v>
      </c>
      <c r="D1252" s="166" t="s">
        <v>1262</v>
      </c>
      <c r="E1252" s="163"/>
      <c r="F1252" s="105"/>
      <c r="G1252" s="105"/>
      <c r="H1252" s="105">
        <v>2114</v>
      </c>
      <c r="I1252" s="105">
        <v>422</v>
      </c>
      <c r="J1252" s="105">
        <v>1</v>
      </c>
      <c r="K1252" s="105">
        <v>8</v>
      </c>
      <c r="L1252" s="105"/>
      <c r="M1252" s="105"/>
      <c r="N1252" s="105"/>
      <c r="O1252" s="105"/>
      <c r="P1252" s="105"/>
      <c r="Q1252" s="105"/>
      <c r="R1252" s="105"/>
      <c r="S1252" s="105"/>
      <c r="T1252" s="106"/>
      <c r="U1252" s="130"/>
      <c r="V1252" s="1"/>
      <c r="W1252" s="68">
        <f t="shared" si="308"/>
        <v>0</v>
      </c>
      <c r="X1252" s="68">
        <f t="shared" si="309"/>
        <v>0</v>
      </c>
      <c r="Y1252" s="68">
        <f t="shared" si="310"/>
        <v>0</v>
      </c>
      <c r="Z1252" s="68">
        <f t="shared" si="311"/>
        <v>0</v>
      </c>
      <c r="AA1252" s="68"/>
      <c r="AB1252" s="68">
        <v>0</v>
      </c>
      <c r="AC1252" s="69">
        <f t="shared" si="312"/>
        <v>0</v>
      </c>
      <c r="AD1252" s="70">
        <v>0</v>
      </c>
      <c r="AE1252" s="63">
        <v>40494</v>
      </c>
      <c r="AF1252" s="72"/>
      <c r="AG1252" s="63" t="s">
        <v>954</v>
      </c>
      <c r="AH1252" s="23" t="s">
        <v>955</v>
      </c>
      <c r="AI1252" s="60"/>
      <c r="AJ1252" s="124" t="s">
        <v>680</v>
      </c>
      <c r="AK1252" s="121" t="s">
        <v>2147</v>
      </c>
      <c r="AL1252" s="107"/>
      <c r="AM1252" s="108"/>
      <c r="AN1252" s="109"/>
      <c r="AO1252" s="108"/>
      <c r="AP1252" s="108"/>
      <c r="AQ1252" s="108"/>
      <c r="AR1252" s="108"/>
      <c r="AS1252" s="108"/>
      <c r="AT1252" s="108"/>
      <c r="AU1252" s="108"/>
      <c r="AV1252" s="108"/>
      <c r="AW1252" s="108"/>
      <c r="AX1252" s="108"/>
      <c r="AY1252" s="108"/>
      <c r="AZ1252" s="108"/>
      <c r="BA1252" s="108"/>
      <c r="BB1252" s="108"/>
      <c r="BC1252" s="108"/>
      <c r="BD1252" s="108"/>
      <c r="BE1252" s="108"/>
      <c r="BF1252" s="108"/>
      <c r="BG1252" s="108"/>
      <c r="BH1252" s="108"/>
      <c r="BI1252" s="108"/>
      <c r="BJ1252" s="108"/>
      <c r="BK1252" s="108"/>
      <c r="BL1252" s="108"/>
      <c r="BM1252" s="108"/>
      <c r="BN1252" s="108"/>
      <c r="BO1252" s="108"/>
      <c r="BP1252" s="108"/>
      <c r="BQ1252" s="108"/>
      <c r="BR1252" s="108"/>
      <c r="BS1252" s="108"/>
      <c r="BT1252" s="108"/>
      <c r="BU1252" s="108"/>
      <c r="BV1252" s="108"/>
      <c r="BW1252" s="108"/>
      <c r="BX1252" s="108"/>
      <c r="BY1252" s="108"/>
      <c r="BZ1252" s="108"/>
      <c r="CA1252" s="108"/>
      <c r="CB1252" s="108"/>
      <c r="CC1252" s="108"/>
      <c r="CD1252" s="108"/>
      <c r="CE1252" s="108"/>
      <c r="CF1252" s="108"/>
      <c r="CG1252" s="108"/>
      <c r="CH1252" s="108"/>
      <c r="CI1252" s="108"/>
      <c r="CJ1252" s="108"/>
      <c r="CK1252" s="108"/>
      <c r="CL1252" s="108"/>
      <c r="CM1252" s="108"/>
      <c r="CN1252" s="110"/>
      <c r="CO1252" s="111"/>
      <c r="CP1252" s="110"/>
      <c r="CQ1252" s="111"/>
      <c r="CR1252" s="110"/>
      <c r="CS1252" s="111"/>
      <c r="CT1252" s="112">
        <f t="shared" si="313"/>
        <v>0</v>
      </c>
      <c r="CU1252" s="113"/>
      <c r="CV1252" s="114"/>
      <c r="CW1252" s="115"/>
      <c r="CX1252" s="116"/>
      <c r="CY1252" s="117"/>
      <c r="CZ1252" s="116"/>
      <c r="DA1252" s="113"/>
      <c r="DB1252" s="114"/>
      <c r="DC1252" s="64"/>
      <c r="DD1252" s="118"/>
    </row>
    <row r="1253" spans="1:108" s="119" customFormat="1" ht="24" outlineLevel="2">
      <c r="A1253" s="178">
        <v>40493</v>
      </c>
      <c r="B1253" s="82" t="s">
        <v>956</v>
      </c>
      <c r="C1253" s="164" t="s">
        <v>884</v>
      </c>
      <c r="D1253" s="166" t="s">
        <v>1262</v>
      </c>
      <c r="E1253" s="163"/>
      <c r="F1253" s="105"/>
      <c r="G1253" s="105"/>
      <c r="H1253" s="105">
        <v>22</v>
      </c>
      <c r="I1253" s="105">
        <v>4</v>
      </c>
      <c r="J1253" s="105"/>
      <c r="K1253" s="105">
        <v>4</v>
      </c>
      <c r="L1253" s="105">
        <v>4</v>
      </c>
      <c r="M1253" s="105"/>
      <c r="N1253" s="105"/>
      <c r="O1253" s="105"/>
      <c r="P1253" s="105"/>
      <c r="Q1253" s="105"/>
      <c r="R1253" s="105"/>
      <c r="S1253" s="105"/>
      <c r="T1253" s="106"/>
      <c r="U1253" s="130"/>
      <c r="V1253" s="1"/>
      <c r="W1253" s="68">
        <f t="shared" si="308"/>
        <v>0</v>
      </c>
      <c r="X1253" s="68">
        <f t="shared" si="309"/>
        <v>0</v>
      </c>
      <c r="Y1253" s="68">
        <f t="shared" si="310"/>
        <v>0</v>
      </c>
      <c r="Z1253" s="68">
        <f t="shared" si="311"/>
        <v>0</v>
      </c>
      <c r="AA1253" s="68"/>
      <c r="AB1253" s="68">
        <v>0</v>
      </c>
      <c r="AC1253" s="69">
        <f t="shared" si="312"/>
        <v>0</v>
      </c>
      <c r="AD1253" s="70">
        <v>0</v>
      </c>
      <c r="AE1253" s="63">
        <v>40494</v>
      </c>
      <c r="AF1253" s="72"/>
      <c r="AG1253" s="63" t="s">
        <v>954</v>
      </c>
      <c r="AH1253" s="23" t="s">
        <v>955</v>
      </c>
      <c r="AI1253" s="60"/>
      <c r="AJ1253" s="124" t="s">
        <v>680</v>
      </c>
      <c r="AK1253" s="121" t="s">
        <v>611</v>
      </c>
      <c r="AL1253" s="107"/>
      <c r="AM1253" s="108"/>
      <c r="AN1253" s="109"/>
      <c r="AO1253" s="108"/>
      <c r="AP1253" s="108"/>
      <c r="AQ1253" s="108"/>
      <c r="AR1253" s="108"/>
      <c r="AS1253" s="108"/>
      <c r="AT1253" s="108"/>
      <c r="AU1253" s="108"/>
      <c r="AV1253" s="108"/>
      <c r="AW1253" s="108"/>
      <c r="AX1253" s="108"/>
      <c r="AY1253" s="108"/>
      <c r="AZ1253" s="108"/>
      <c r="BA1253" s="108"/>
      <c r="BB1253" s="108"/>
      <c r="BC1253" s="108"/>
      <c r="BD1253" s="108"/>
      <c r="BE1253" s="108"/>
      <c r="BF1253" s="108"/>
      <c r="BG1253" s="108"/>
      <c r="BH1253" s="108"/>
      <c r="BI1253" s="108"/>
      <c r="BJ1253" s="108"/>
      <c r="BK1253" s="108"/>
      <c r="BL1253" s="108"/>
      <c r="BM1253" s="108"/>
      <c r="BN1253" s="108"/>
      <c r="BO1253" s="108"/>
      <c r="BP1253" s="108"/>
      <c r="BQ1253" s="108"/>
      <c r="BR1253" s="108"/>
      <c r="BS1253" s="108"/>
      <c r="BT1253" s="108"/>
      <c r="BU1253" s="108"/>
      <c r="BV1253" s="108"/>
      <c r="BW1253" s="108"/>
      <c r="BX1253" s="108"/>
      <c r="BY1253" s="108"/>
      <c r="BZ1253" s="108"/>
      <c r="CA1253" s="108"/>
      <c r="CB1253" s="108"/>
      <c r="CC1253" s="108"/>
      <c r="CD1253" s="108"/>
      <c r="CE1253" s="108"/>
      <c r="CF1253" s="108"/>
      <c r="CG1253" s="108"/>
      <c r="CH1253" s="108"/>
      <c r="CI1253" s="108"/>
      <c r="CJ1253" s="108"/>
      <c r="CK1253" s="108"/>
      <c r="CL1253" s="108"/>
      <c r="CM1253" s="108"/>
      <c r="CN1253" s="110"/>
      <c r="CO1253" s="111"/>
      <c r="CP1253" s="110"/>
      <c r="CQ1253" s="111"/>
      <c r="CR1253" s="110"/>
      <c r="CS1253" s="111"/>
      <c r="CT1253" s="112">
        <f t="shared" si="313"/>
        <v>0</v>
      </c>
      <c r="CU1253" s="113"/>
      <c r="CV1253" s="114"/>
      <c r="CW1253" s="115"/>
      <c r="CX1253" s="116"/>
      <c r="CY1253" s="117"/>
      <c r="CZ1253" s="116"/>
      <c r="DA1253" s="113"/>
      <c r="DB1253" s="114"/>
      <c r="DC1253" s="64"/>
      <c r="DD1253" s="118"/>
    </row>
    <row r="1254" spans="1:108" s="119" customFormat="1" ht="24" outlineLevel="2">
      <c r="A1254" s="178">
        <v>40493</v>
      </c>
      <c r="B1254" s="82" t="s">
        <v>956</v>
      </c>
      <c r="C1254" s="164" t="s">
        <v>1529</v>
      </c>
      <c r="D1254" s="166" t="s">
        <v>1262</v>
      </c>
      <c r="E1254" s="163"/>
      <c r="F1254" s="105"/>
      <c r="G1254" s="105"/>
      <c r="H1254" s="105">
        <v>30</v>
      </c>
      <c r="I1254" s="105">
        <v>6</v>
      </c>
      <c r="J1254" s="105"/>
      <c r="K1254" s="105">
        <v>6</v>
      </c>
      <c r="L1254" s="105"/>
      <c r="M1254" s="105"/>
      <c r="N1254" s="105"/>
      <c r="O1254" s="105"/>
      <c r="P1254" s="105"/>
      <c r="Q1254" s="105"/>
      <c r="R1254" s="105"/>
      <c r="S1254" s="105"/>
      <c r="T1254" s="106"/>
      <c r="U1254" s="130"/>
      <c r="V1254" s="1"/>
      <c r="W1254" s="68">
        <f t="shared" si="308"/>
        <v>0</v>
      </c>
      <c r="X1254" s="68">
        <f t="shared" si="309"/>
        <v>0</v>
      </c>
      <c r="Y1254" s="68">
        <f t="shared" si="310"/>
        <v>0</v>
      </c>
      <c r="Z1254" s="68">
        <f t="shared" si="311"/>
        <v>0</v>
      </c>
      <c r="AA1254" s="68"/>
      <c r="AB1254" s="68">
        <v>0</v>
      </c>
      <c r="AC1254" s="69">
        <f t="shared" si="312"/>
        <v>0</v>
      </c>
      <c r="AD1254" s="70">
        <v>0</v>
      </c>
      <c r="AE1254" s="63">
        <v>40494</v>
      </c>
      <c r="AF1254" s="72"/>
      <c r="AG1254" s="63" t="s">
        <v>938</v>
      </c>
      <c r="AH1254" s="23" t="s">
        <v>939</v>
      </c>
      <c r="AI1254" s="60"/>
      <c r="AJ1254" s="124" t="s">
        <v>1608</v>
      </c>
      <c r="AK1254" s="121" t="s">
        <v>713</v>
      </c>
      <c r="AL1254" s="107"/>
      <c r="AM1254" s="108"/>
      <c r="AN1254" s="109"/>
      <c r="AO1254" s="108"/>
      <c r="AP1254" s="108"/>
      <c r="AQ1254" s="108"/>
      <c r="AR1254" s="108"/>
      <c r="AS1254" s="108"/>
      <c r="AT1254" s="108"/>
      <c r="AU1254" s="108"/>
      <c r="AV1254" s="108"/>
      <c r="AW1254" s="108"/>
      <c r="AX1254" s="108"/>
      <c r="AY1254" s="108"/>
      <c r="AZ1254" s="108"/>
      <c r="BA1254" s="108"/>
      <c r="BB1254" s="108"/>
      <c r="BC1254" s="108"/>
      <c r="BD1254" s="108"/>
      <c r="BE1254" s="108"/>
      <c r="BF1254" s="108"/>
      <c r="BG1254" s="108"/>
      <c r="BH1254" s="108"/>
      <c r="BI1254" s="108"/>
      <c r="BJ1254" s="108"/>
      <c r="BK1254" s="108"/>
      <c r="BL1254" s="108"/>
      <c r="BM1254" s="108"/>
      <c r="BN1254" s="108"/>
      <c r="BO1254" s="108"/>
      <c r="BP1254" s="108"/>
      <c r="BQ1254" s="108"/>
      <c r="BR1254" s="108"/>
      <c r="BS1254" s="108"/>
      <c r="BT1254" s="108"/>
      <c r="BU1254" s="108"/>
      <c r="BV1254" s="108"/>
      <c r="BW1254" s="108"/>
      <c r="BX1254" s="108"/>
      <c r="BY1254" s="108"/>
      <c r="BZ1254" s="108"/>
      <c r="CA1254" s="108"/>
      <c r="CB1254" s="108"/>
      <c r="CC1254" s="108"/>
      <c r="CD1254" s="108"/>
      <c r="CE1254" s="108"/>
      <c r="CF1254" s="108"/>
      <c r="CG1254" s="108"/>
      <c r="CH1254" s="108"/>
      <c r="CI1254" s="108"/>
      <c r="CJ1254" s="108"/>
      <c r="CK1254" s="108"/>
      <c r="CL1254" s="108"/>
      <c r="CM1254" s="108"/>
      <c r="CN1254" s="110"/>
      <c r="CO1254" s="111"/>
      <c r="CP1254" s="110"/>
      <c r="CQ1254" s="111"/>
      <c r="CR1254" s="110"/>
      <c r="CS1254" s="111"/>
      <c r="CT1254" s="112">
        <f t="shared" si="313"/>
        <v>0</v>
      </c>
      <c r="CU1254" s="113"/>
      <c r="CV1254" s="114"/>
      <c r="CW1254" s="115"/>
      <c r="CX1254" s="116"/>
      <c r="CY1254" s="117"/>
      <c r="CZ1254" s="116"/>
      <c r="DA1254" s="113"/>
      <c r="DB1254" s="114"/>
      <c r="DC1254" s="64"/>
      <c r="DD1254" s="118"/>
    </row>
    <row r="1255" spans="1:108" s="119" customFormat="1" ht="24" outlineLevel="2">
      <c r="A1255" s="178">
        <v>40494</v>
      </c>
      <c r="B1255" s="82" t="s">
        <v>956</v>
      </c>
      <c r="C1255" s="164" t="s">
        <v>1157</v>
      </c>
      <c r="D1255" s="165" t="s">
        <v>1182</v>
      </c>
      <c r="E1255" s="163"/>
      <c r="F1255" s="105"/>
      <c r="G1255" s="105"/>
      <c r="H1255" s="105">
        <v>10</v>
      </c>
      <c r="I1255" s="105">
        <v>2</v>
      </c>
      <c r="J1255" s="105"/>
      <c r="K1255" s="105">
        <v>2</v>
      </c>
      <c r="L1255" s="105"/>
      <c r="M1255" s="105"/>
      <c r="N1255" s="105"/>
      <c r="O1255" s="105"/>
      <c r="P1255" s="105"/>
      <c r="Q1255" s="105"/>
      <c r="R1255" s="105"/>
      <c r="S1255" s="105"/>
      <c r="T1255" s="106"/>
      <c r="U1255" s="130"/>
      <c r="V1255" s="1"/>
      <c r="W1255" s="68">
        <f t="shared" si="308"/>
        <v>0</v>
      </c>
      <c r="X1255" s="68">
        <f t="shared" si="309"/>
        <v>0</v>
      </c>
      <c r="Y1255" s="68">
        <f t="shared" si="310"/>
        <v>0</v>
      </c>
      <c r="Z1255" s="68">
        <f t="shared" si="311"/>
        <v>0</v>
      </c>
      <c r="AA1255" s="68"/>
      <c r="AB1255" s="68">
        <v>0</v>
      </c>
      <c r="AC1255" s="69">
        <f t="shared" si="312"/>
        <v>0</v>
      </c>
      <c r="AD1255" s="70">
        <v>0</v>
      </c>
      <c r="AE1255" s="63">
        <v>40497</v>
      </c>
      <c r="AF1255" s="72"/>
      <c r="AG1255" s="63" t="s">
        <v>938</v>
      </c>
      <c r="AH1255" s="23" t="s">
        <v>939</v>
      </c>
      <c r="AI1255" s="60"/>
      <c r="AJ1255" s="124" t="s">
        <v>1608</v>
      </c>
      <c r="AK1255" s="121" t="s">
        <v>23</v>
      </c>
      <c r="AL1255" s="107"/>
      <c r="AM1255" s="108"/>
      <c r="AN1255" s="109"/>
      <c r="AO1255" s="108"/>
      <c r="AP1255" s="108"/>
      <c r="AQ1255" s="108"/>
      <c r="AR1255" s="108"/>
      <c r="AS1255" s="108"/>
      <c r="AT1255" s="108"/>
      <c r="AU1255" s="108"/>
      <c r="AV1255" s="108"/>
      <c r="AW1255" s="108"/>
      <c r="AX1255" s="108"/>
      <c r="AY1255" s="108"/>
      <c r="AZ1255" s="108"/>
      <c r="BA1255" s="108"/>
      <c r="BB1255" s="108"/>
      <c r="BC1255" s="108"/>
      <c r="BD1255" s="108"/>
      <c r="BE1255" s="108"/>
      <c r="BF1255" s="108"/>
      <c r="BG1255" s="108"/>
      <c r="BH1255" s="108"/>
      <c r="BI1255" s="108"/>
      <c r="BJ1255" s="108"/>
      <c r="BK1255" s="108"/>
      <c r="BL1255" s="108"/>
      <c r="BM1255" s="108"/>
      <c r="BN1255" s="108"/>
      <c r="BO1255" s="108"/>
      <c r="BP1255" s="108"/>
      <c r="BQ1255" s="108"/>
      <c r="BR1255" s="108"/>
      <c r="BS1255" s="108"/>
      <c r="BT1255" s="108"/>
      <c r="BU1255" s="108"/>
      <c r="BV1255" s="108"/>
      <c r="BW1255" s="108"/>
      <c r="BX1255" s="108"/>
      <c r="BY1255" s="108"/>
      <c r="BZ1255" s="108"/>
      <c r="CA1255" s="108"/>
      <c r="CB1255" s="108"/>
      <c r="CC1255" s="108"/>
      <c r="CD1255" s="108"/>
      <c r="CE1255" s="108"/>
      <c r="CF1255" s="108"/>
      <c r="CG1255" s="108"/>
      <c r="CH1255" s="108"/>
      <c r="CI1255" s="108"/>
      <c r="CJ1255" s="108"/>
      <c r="CK1255" s="108"/>
      <c r="CL1255" s="108"/>
      <c r="CM1255" s="108"/>
      <c r="CN1255" s="110"/>
      <c r="CO1255" s="111"/>
      <c r="CP1255" s="110"/>
      <c r="CQ1255" s="111"/>
      <c r="CR1255" s="110"/>
      <c r="CS1255" s="111"/>
      <c r="CT1255" s="112">
        <f t="shared" si="313"/>
        <v>0</v>
      </c>
      <c r="CU1255" s="113"/>
      <c r="CV1255" s="114"/>
      <c r="CW1255" s="115"/>
      <c r="CX1255" s="116"/>
      <c r="CY1255" s="117"/>
      <c r="CZ1255" s="116"/>
      <c r="DA1255" s="113"/>
      <c r="DB1255" s="114"/>
      <c r="DC1255" s="64"/>
      <c r="DD1255" s="118"/>
    </row>
    <row r="1256" spans="1:108" s="119" customFormat="1" outlineLevel="2">
      <c r="A1256" s="178">
        <v>40494</v>
      </c>
      <c r="B1256" s="82" t="s">
        <v>956</v>
      </c>
      <c r="C1256" s="164" t="s">
        <v>882</v>
      </c>
      <c r="D1256" s="165" t="s">
        <v>1182</v>
      </c>
      <c r="E1256" s="163"/>
      <c r="F1256" s="105"/>
      <c r="G1256" s="105"/>
      <c r="H1256" s="105">
        <v>5</v>
      </c>
      <c r="I1256" s="105">
        <v>1</v>
      </c>
      <c r="J1256" s="105">
        <v>1</v>
      </c>
      <c r="K1256" s="105"/>
      <c r="L1256" s="105"/>
      <c r="M1256" s="105"/>
      <c r="N1256" s="105"/>
      <c r="O1256" s="105"/>
      <c r="P1256" s="105"/>
      <c r="Q1256" s="105"/>
      <c r="R1256" s="105"/>
      <c r="S1256" s="105"/>
      <c r="T1256" s="106"/>
      <c r="U1256" s="130"/>
      <c r="V1256" s="1"/>
      <c r="W1256" s="68">
        <f t="shared" si="308"/>
        <v>0</v>
      </c>
      <c r="X1256" s="68">
        <f t="shared" si="309"/>
        <v>0</v>
      </c>
      <c r="Y1256" s="68">
        <f t="shared" si="310"/>
        <v>0</v>
      </c>
      <c r="Z1256" s="68">
        <f t="shared" si="311"/>
        <v>0</v>
      </c>
      <c r="AA1256" s="68"/>
      <c r="AB1256" s="68">
        <v>0</v>
      </c>
      <c r="AC1256" s="69">
        <f t="shared" si="312"/>
        <v>0</v>
      </c>
      <c r="AD1256" s="70">
        <v>0</v>
      </c>
      <c r="AE1256" s="63">
        <v>40497</v>
      </c>
      <c r="AF1256" s="72"/>
      <c r="AG1256" s="63" t="s">
        <v>938</v>
      </c>
      <c r="AH1256" s="23" t="s">
        <v>939</v>
      </c>
      <c r="AI1256" s="60"/>
      <c r="AJ1256" s="124" t="s">
        <v>1608</v>
      </c>
      <c r="AK1256" s="121" t="s">
        <v>24</v>
      </c>
      <c r="AL1256" s="107"/>
      <c r="AM1256" s="108"/>
      <c r="AN1256" s="109"/>
      <c r="AO1256" s="108"/>
      <c r="AP1256" s="108"/>
      <c r="AQ1256" s="108"/>
      <c r="AR1256" s="108"/>
      <c r="AS1256" s="108"/>
      <c r="AT1256" s="108"/>
      <c r="AU1256" s="108"/>
      <c r="AV1256" s="108"/>
      <c r="AW1256" s="108"/>
      <c r="AX1256" s="108"/>
      <c r="AY1256" s="108"/>
      <c r="AZ1256" s="108"/>
      <c r="BA1256" s="108"/>
      <c r="BB1256" s="108"/>
      <c r="BC1256" s="108"/>
      <c r="BD1256" s="108"/>
      <c r="BE1256" s="108"/>
      <c r="BF1256" s="108"/>
      <c r="BG1256" s="108"/>
      <c r="BH1256" s="108"/>
      <c r="BI1256" s="108"/>
      <c r="BJ1256" s="108"/>
      <c r="BK1256" s="108"/>
      <c r="BL1256" s="108"/>
      <c r="BM1256" s="108"/>
      <c r="BN1256" s="108"/>
      <c r="BO1256" s="108"/>
      <c r="BP1256" s="108"/>
      <c r="BQ1256" s="108"/>
      <c r="BR1256" s="108"/>
      <c r="BS1256" s="108"/>
      <c r="BT1256" s="108"/>
      <c r="BU1256" s="108"/>
      <c r="BV1256" s="108"/>
      <c r="BW1256" s="108"/>
      <c r="BX1256" s="108"/>
      <c r="BY1256" s="108"/>
      <c r="BZ1256" s="108"/>
      <c r="CA1256" s="108"/>
      <c r="CB1256" s="108"/>
      <c r="CC1256" s="108"/>
      <c r="CD1256" s="108"/>
      <c r="CE1256" s="108"/>
      <c r="CF1256" s="108"/>
      <c r="CG1256" s="108"/>
      <c r="CH1256" s="108"/>
      <c r="CI1256" s="108"/>
      <c r="CJ1256" s="108"/>
      <c r="CK1256" s="108"/>
      <c r="CL1256" s="108"/>
      <c r="CM1256" s="108"/>
      <c r="CN1256" s="110"/>
      <c r="CO1256" s="111"/>
      <c r="CP1256" s="110"/>
      <c r="CQ1256" s="111"/>
      <c r="CR1256" s="110"/>
      <c r="CS1256" s="111"/>
      <c r="CT1256" s="112">
        <f t="shared" si="313"/>
        <v>0</v>
      </c>
      <c r="CU1256" s="113"/>
      <c r="CV1256" s="114"/>
      <c r="CW1256" s="115"/>
      <c r="CX1256" s="116"/>
      <c r="CY1256" s="117"/>
      <c r="CZ1256" s="116"/>
      <c r="DA1256" s="113"/>
      <c r="DB1256" s="114"/>
      <c r="DC1256" s="64"/>
      <c r="DD1256" s="118"/>
    </row>
    <row r="1257" spans="1:108" s="119" customFormat="1" ht="24" outlineLevel="2">
      <c r="A1257" s="178">
        <v>40494</v>
      </c>
      <c r="B1257" s="82" t="s">
        <v>956</v>
      </c>
      <c r="C1257" s="164" t="s">
        <v>766</v>
      </c>
      <c r="D1257" s="165" t="s">
        <v>1182</v>
      </c>
      <c r="E1257" s="163"/>
      <c r="F1257" s="105"/>
      <c r="G1257" s="105"/>
      <c r="H1257" s="105">
        <v>10</v>
      </c>
      <c r="I1257" s="105">
        <v>2</v>
      </c>
      <c r="J1257" s="105">
        <v>2</v>
      </c>
      <c r="K1257" s="105"/>
      <c r="L1257" s="105"/>
      <c r="M1257" s="105"/>
      <c r="N1257" s="105"/>
      <c r="O1257" s="105">
        <v>1</v>
      </c>
      <c r="P1257" s="105"/>
      <c r="Q1257" s="105"/>
      <c r="R1257" s="105"/>
      <c r="S1257" s="105"/>
      <c r="T1257" s="106"/>
      <c r="U1257" s="130"/>
      <c r="V1257" s="1"/>
      <c r="W1257" s="68">
        <f t="shared" si="308"/>
        <v>0</v>
      </c>
      <c r="X1257" s="68">
        <f t="shared" si="309"/>
        <v>0</v>
      </c>
      <c r="Y1257" s="68">
        <f t="shared" si="310"/>
        <v>0</v>
      </c>
      <c r="Z1257" s="68">
        <f t="shared" si="311"/>
        <v>0</v>
      </c>
      <c r="AA1257" s="68"/>
      <c r="AB1257" s="68">
        <v>0</v>
      </c>
      <c r="AC1257" s="69">
        <f t="shared" si="312"/>
        <v>0</v>
      </c>
      <c r="AD1257" s="70">
        <v>0</v>
      </c>
      <c r="AE1257" s="63">
        <v>40497</v>
      </c>
      <c r="AF1257" s="72"/>
      <c r="AG1257" s="63" t="s">
        <v>938</v>
      </c>
      <c r="AH1257" s="23" t="s">
        <v>939</v>
      </c>
      <c r="AI1257" s="60"/>
      <c r="AJ1257" s="124" t="s">
        <v>1608</v>
      </c>
      <c r="AK1257" s="121" t="s">
        <v>22</v>
      </c>
      <c r="AL1257" s="107"/>
      <c r="AM1257" s="108"/>
      <c r="AN1257" s="109"/>
      <c r="AO1257" s="108"/>
      <c r="AP1257" s="108"/>
      <c r="AQ1257" s="108"/>
      <c r="AR1257" s="108"/>
      <c r="AS1257" s="108"/>
      <c r="AT1257" s="108"/>
      <c r="AU1257" s="108"/>
      <c r="AV1257" s="108"/>
      <c r="AW1257" s="108"/>
      <c r="AX1257" s="108"/>
      <c r="AY1257" s="108"/>
      <c r="AZ1257" s="108"/>
      <c r="BA1257" s="108"/>
      <c r="BB1257" s="108"/>
      <c r="BC1257" s="108"/>
      <c r="BD1257" s="108"/>
      <c r="BE1257" s="108"/>
      <c r="BF1257" s="108"/>
      <c r="BG1257" s="108"/>
      <c r="BH1257" s="108"/>
      <c r="BI1257" s="108"/>
      <c r="BJ1257" s="108"/>
      <c r="BK1257" s="108"/>
      <c r="BL1257" s="108"/>
      <c r="BM1257" s="108"/>
      <c r="BN1257" s="108"/>
      <c r="BO1257" s="108"/>
      <c r="BP1257" s="108"/>
      <c r="BQ1257" s="108"/>
      <c r="BR1257" s="108"/>
      <c r="BS1257" s="108"/>
      <c r="BT1257" s="108"/>
      <c r="BU1257" s="108"/>
      <c r="BV1257" s="108"/>
      <c r="BW1257" s="108"/>
      <c r="BX1257" s="108"/>
      <c r="BY1257" s="108"/>
      <c r="BZ1257" s="108"/>
      <c r="CA1257" s="108"/>
      <c r="CB1257" s="108"/>
      <c r="CC1257" s="108"/>
      <c r="CD1257" s="108"/>
      <c r="CE1257" s="108"/>
      <c r="CF1257" s="108"/>
      <c r="CG1257" s="108"/>
      <c r="CH1257" s="108"/>
      <c r="CI1257" s="108"/>
      <c r="CJ1257" s="108"/>
      <c r="CK1257" s="108"/>
      <c r="CL1257" s="108"/>
      <c r="CM1257" s="108"/>
      <c r="CN1257" s="110"/>
      <c r="CO1257" s="111"/>
      <c r="CP1257" s="110"/>
      <c r="CQ1257" s="111"/>
      <c r="CR1257" s="110"/>
      <c r="CS1257" s="111"/>
      <c r="CT1257" s="112">
        <f t="shared" si="313"/>
        <v>0</v>
      </c>
      <c r="CU1257" s="113"/>
      <c r="CV1257" s="114"/>
      <c r="CW1257" s="115"/>
      <c r="CX1257" s="116"/>
      <c r="CY1257" s="117"/>
      <c r="CZ1257" s="116"/>
      <c r="DA1257" s="113"/>
      <c r="DB1257" s="114"/>
      <c r="DC1257" s="64"/>
      <c r="DD1257" s="118"/>
    </row>
    <row r="1258" spans="1:108" s="119" customFormat="1" ht="24" outlineLevel="2">
      <c r="A1258" s="178">
        <v>40494</v>
      </c>
      <c r="B1258" s="82" t="s">
        <v>956</v>
      </c>
      <c r="C1258" s="164" t="s">
        <v>1529</v>
      </c>
      <c r="D1258" s="165" t="s">
        <v>1182</v>
      </c>
      <c r="E1258" s="163"/>
      <c r="F1258" s="105"/>
      <c r="G1258" s="105"/>
      <c r="H1258" s="105"/>
      <c r="I1258" s="105"/>
      <c r="J1258" s="105"/>
      <c r="K1258" s="105"/>
      <c r="L1258" s="105">
        <v>1</v>
      </c>
      <c r="M1258" s="105"/>
      <c r="N1258" s="105"/>
      <c r="O1258" s="105"/>
      <c r="P1258" s="105"/>
      <c r="Q1258" s="105"/>
      <c r="R1258" s="105"/>
      <c r="S1258" s="105"/>
      <c r="T1258" s="106"/>
      <c r="U1258" s="130"/>
      <c r="V1258" s="1"/>
      <c r="W1258" s="68">
        <f t="shared" si="308"/>
        <v>0</v>
      </c>
      <c r="X1258" s="68">
        <f t="shared" si="309"/>
        <v>0</v>
      </c>
      <c r="Y1258" s="68">
        <f t="shared" si="310"/>
        <v>0</v>
      </c>
      <c r="Z1258" s="68">
        <f t="shared" si="311"/>
        <v>0</v>
      </c>
      <c r="AA1258" s="68"/>
      <c r="AB1258" s="68">
        <v>0</v>
      </c>
      <c r="AC1258" s="69">
        <f t="shared" si="312"/>
        <v>0</v>
      </c>
      <c r="AD1258" s="70">
        <v>0</v>
      </c>
      <c r="AE1258" s="63">
        <v>40497</v>
      </c>
      <c r="AF1258" s="72"/>
      <c r="AG1258" s="63" t="s">
        <v>938</v>
      </c>
      <c r="AH1258" s="23" t="s">
        <v>939</v>
      </c>
      <c r="AI1258" s="60"/>
      <c r="AJ1258" s="124" t="s">
        <v>1608</v>
      </c>
      <c r="AK1258" s="121" t="s">
        <v>15</v>
      </c>
      <c r="AL1258" s="107"/>
      <c r="AM1258" s="108"/>
      <c r="AN1258" s="109"/>
      <c r="AO1258" s="108"/>
      <c r="AP1258" s="108"/>
      <c r="AQ1258" s="108"/>
      <c r="AR1258" s="108"/>
      <c r="AS1258" s="108"/>
      <c r="AT1258" s="108"/>
      <c r="AU1258" s="108"/>
      <c r="AV1258" s="108"/>
      <c r="AW1258" s="108"/>
      <c r="AX1258" s="108"/>
      <c r="AY1258" s="108"/>
      <c r="AZ1258" s="108"/>
      <c r="BA1258" s="108"/>
      <c r="BB1258" s="108"/>
      <c r="BC1258" s="108"/>
      <c r="BD1258" s="108"/>
      <c r="BE1258" s="108"/>
      <c r="BF1258" s="108"/>
      <c r="BG1258" s="108"/>
      <c r="BH1258" s="108"/>
      <c r="BI1258" s="108"/>
      <c r="BJ1258" s="108"/>
      <c r="BK1258" s="108"/>
      <c r="BL1258" s="108"/>
      <c r="BM1258" s="108"/>
      <c r="BN1258" s="108"/>
      <c r="BO1258" s="108"/>
      <c r="BP1258" s="108"/>
      <c r="BQ1258" s="108"/>
      <c r="BR1258" s="108"/>
      <c r="BS1258" s="108"/>
      <c r="BT1258" s="108"/>
      <c r="BU1258" s="108"/>
      <c r="BV1258" s="108"/>
      <c r="BW1258" s="108"/>
      <c r="BX1258" s="108"/>
      <c r="BY1258" s="108"/>
      <c r="BZ1258" s="108"/>
      <c r="CA1258" s="108"/>
      <c r="CB1258" s="108"/>
      <c r="CC1258" s="108"/>
      <c r="CD1258" s="108"/>
      <c r="CE1258" s="108"/>
      <c r="CF1258" s="108"/>
      <c r="CG1258" s="108"/>
      <c r="CH1258" s="108"/>
      <c r="CI1258" s="108"/>
      <c r="CJ1258" s="108"/>
      <c r="CK1258" s="108"/>
      <c r="CL1258" s="108"/>
      <c r="CM1258" s="108"/>
      <c r="CN1258" s="110"/>
      <c r="CO1258" s="111"/>
      <c r="CP1258" s="110"/>
      <c r="CQ1258" s="111"/>
      <c r="CR1258" s="110"/>
      <c r="CS1258" s="111"/>
      <c r="CT1258" s="112">
        <f t="shared" si="313"/>
        <v>0</v>
      </c>
      <c r="CU1258" s="113"/>
      <c r="CV1258" s="114"/>
      <c r="CW1258" s="115"/>
      <c r="CX1258" s="116"/>
      <c r="CY1258" s="117"/>
      <c r="CZ1258" s="116"/>
      <c r="DA1258" s="113"/>
      <c r="DB1258" s="114"/>
      <c r="DC1258" s="64"/>
      <c r="DD1258" s="118"/>
    </row>
    <row r="1259" spans="1:108" s="119" customFormat="1" ht="36" outlineLevel="2">
      <c r="A1259" s="178">
        <v>40496</v>
      </c>
      <c r="B1259" s="82" t="s">
        <v>956</v>
      </c>
      <c r="C1259" s="164" t="s">
        <v>953</v>
      </c>
      <c r="D1259" s="166" t="s">
        <v>1262</v>
      </c>
      <c r="E1259" s="163"/>
      <c r="F1259" s="105"/>
      <c r="G1259" s="105"/>
      <c r="H1259" s="105"/>
      <c r="I1259" s="105"/>
      <c r="J1259" s="105"/>
      <c r="K1259" s="105"/>
      <c r="L1259" s="105"/>
      <c r="M1259" s="105"/>
      <c r="N1259" s="105"/>
      <c r="O1259" s="105"/>
      <c r="P1259" s="105"/>
      <c r="Q1259" s="105"/>
      <c r="R1259" s="105"/>
      <c r="S1259" s="105"/>
      <c r="T1259" s="106"/>
      <c r="U1259" s="130"/>
      <c r="V1259" s="1">
        <v>40515</v>
      </c>
      <c r="W1259" s="68">
        <f t="shared" si="308"/>
        <v>82540000</v>
      </c>
      <c r="X1259" s="68">
        <f t="shared" si="309"/>
        <v>127500000</v>
      </c>
      <c r="Y1259" s="68">
        <f t="shared" si="310"/>
        <v>0</v>
      </c>
      <c r="Z1259" s="68">
        <f t="shared" si="311"/>
        <v>0</v>
      </c>
      <c r="AA1259" s="68"/>
      <c r="AB1259" s="68">
        <v>0</v>
      </c>
      <c r="AC1259" s="69">
        <f t="shared" si="312"/>
        <v>210040000</v>
      </c>
      <c r="AD1259" s="70">
        <v>0</v>
      </c>
      <c r="AE1259" s="63">
        <v>40500</v>
      </c>
      <c r="AF1259" s="72">
        <v>64406</v>
      </c>
      <c r="AG1259" s="63" t="s">
        <v>954</v>
      </c>
      <c r="AH1259" s="23" t="s">
        <v>955</v>
      </c>
      <c r="AI1259" s="60">
        <v>25678</v>
      </c>
      <c r="AJ1259" s="124" t="s">
        <v>1476</v>
      </c>
      <c r="AK1259" s="121" t="s">
        <v>679</v>
      </c>
      <c r="AL1259" s="107"/>
      <c r="AM1259" s="108"/>
      <c r="AN1259" s="109"/>
      <c r="AO1259" s="108"/>
      <c r="AP1259" s="108"/>
      <c r="AQ1259" s="108"/>
      <c r="AR1259" s="108"/>
      <c r="AS1259" s="108"/>
      <c r="AT1259" s="108"/>
      <c r="AU1259" s="108"/>
      <c r="AV1259" s="108"/>
      <c r="AW1259" s="108"/>
      <c r="AX1259" s="108">
        <v>200</v>
      </c>
      <c r="AY1259" s="108">
        <f>200*56000</f>
        <v>11200000</v>
      </c>
      <c r="AZ1259" s="108"/>
      <c r="BA1259" s="108"/>
      <c r="BB1259" s="108"/>
      <c r="BC1259" s="108"/>
      <c r="BD1259" s="108"/>
      <c r="BE1259" s="108"/>
      <c r="BF1259" s="108"/>
      <c r="BG1259" s="108"/>
      <c r="BH1259" s="108"/>
      <c r="BI1259" s="108"/>
      <c r="BJ1259" s="108"/>
      <c r="BK1259" s="108"/>
      <c r="BL1259" s="108"/>
      <c r="BM1259" s="108"/>
      <c r="BN1259" s="108"/>
      <c r="BO1259" s="108"/>
      <c r="BP1259" s="108"/>
      <c r="BQ1259" s="108"/>
      <c r="BR1259" s="108"/>
      <c r="BS1259" s="108"/>
      <c r="BT1259" s="108"/>
      <c r="BU1259" s="108"/>
      <c r="BV1259" s="108"/>
      <c r="BW1259" s="108"/>
      <c r="BX1259" s="108"/>
      <c r="BY1259" s="108"/>
      <c r="BZ1259" s="108"/>
      <c r="CA1259" s="108"/>
      <c r="CB1259" s="108"/>
      <c r="CC1259" s="108"/>
      <c r="CD1259" s="108"/>
      <c r="CE1259" s="108"/>
      <c r="CF1259" s="108">
        <v>200</v>
      </c>
      <c r="CG1259" s="108">
        <f>200*18000</f>
        <v>3600000</v>
      </c>
      <c r="CH1259" s="108">
        <v>200</v>
      </c>
      <c r="CI1259" s="108">
        <f>200*21500</f>
        <v>4300000</v>
      </c>
      <c r="CJ1259" s="108"/>
      <c r="CK1259" s="108"/>
      <c r="CL1259" s="108"/>
      <c r="CM1259" s="108"/>
      <c r="CN1259" s="110">
        <v>1500</v>
      </c>
      <c r="CO1259" s="111">
        <f>1500*37000</f>
        <v>55500000</v>
      </c>
      <c r="CP1259" s="110">
        <v>200</v>
      </c>
      <c r="CQ1259" s="111">
        <f>200*39700</f>
        <v>7940000</v>
      </c>
      <c r="CR1259" s="110"/>
      <c r="CS1259" s="111"/>
      <c r="CT1259" s="112">
        <f t="shared" si="313"/>
        <v>82540000</v>
      </c>
      <c r="CU1259" s="113"/>
      <c r="CV1259" s="114"/>
      <c r="CW1259" s="115">
        <v>1500</v>
      </c>
      <c r="CX1259" s="116">
        <f>1500*85000</f>
        <v>127500000</v>
      </c>
      <c r="CY1259" s="117"/>
      <c r="CZ1259" s="116"/>
      <c r="DA1259" s="113"/>
      <c r="DB1259" s="114"/>
      <c r="DC1259" s="64"/>
      <c r="DD1259" s="118"/>
    </row>
    <row r="1260" spans="1:108" s="119" customFormat="1" ht="24" outlineLevel="2">
      <c r="A1260" s="178">
        <v>40496</v>
      </c>
      <c r="B1260" s="82" t="s">
        <v>956</v>
      </c>
      <c r="C1260" s="164" t="s">
        <v>1496</v>
      </c>
      <c r="D1260" s="165" t="s">
        <v>1182</v>
      </c>
      <c r="E1260" s="163"/>
      <c r="F1260" s="105"/>
      <c r="G1260" s="105"/>
      <c r="H1260" s="105">
        <v>10</v>
      </c>
      <c r="I1260" s="105">
        <v>2</v>
      </c>
      <c r="J1260" s="105"/>
      <c r="K1260" s="105">
        <v>2</v>
      </c>
      <c r="L1260" s="105"/>
      <c r="M1260" s="105"/>
      <c r="N1260" s="105"/>
      <c r="O1260" s="105">
        <v>1</v>
      </c>
      <c r="P1260" s="105"/>
      <c r="Q1260" s="105"/>
      <c r="R1260" s="105"/>
      <c r="S1260" s="105"/>
      <c r="T1260" s="106"/>
      <c r="U1260" s="130"/>
      <c r="V1260" s="1"/>
      <c r="W1260" s="68">
        <f t="shared" si="308"/>
        <v>0</v>
      </c>
      <c r="X1260" s="68">
        <f t="shared" si="309"/>
        <v>0</v>
      </c>
      <c r="Y1260" s="68">
        <f t="shared" si="310"/>
        <v>0</v>
      </c>
      <c r="Z1260" s="68">
        <f t="shared" si="311"/>
        <v>0</v>
      </c>
      <c r="AA1260" s="68"/>
      <c r="AB1260" s="68">
        <v>0</v>
      </c>
      <c r="AC1260" s="69">
        <f t="shared" si="312"/>
        <v>0</v>
      </c>
      <c r="AD1260" s="70">
        <v>0</v>
      </c>
      <c r="AE1260" s="63">
        <v>40505</v>
      </c>
      <c r="AF1260" s="72"/>
      <c r="AG1260" s="63" t="s">
        <v>938</v>
      </c>
      <c r="AH1260" s="23" t="s">
        <v>939</v>
      </c>
      <c r="AI1260" s="60"/>
      <c r="AJ1260" s="124" t="s">
        <v>1608</v>
      </c>
      <c r="AK1260" s="121" t="s">
        <v>715</v>
      </c>
      <c r="AL1260" s="107"/>
      <c r="AM1260" s="108"/>
      <c r="AN1260" s="109"/>
      <c r="AO1260" s="108"/>
      <c r="AP1260" s="108"/>
      <c r="AQ1260" s="108"/>
      <c r="AR1260" s="108"/>
      <c r="AS1260" s="108"/>
      <c r="AT1260" s="108"/>
      <c r="AU1260" s="108"/>
      <c r="AV1260" s="108"/>
      <c r="AW1260" s="108"/>
      <c r="AX1260" s="108"/>
      <c r="AY1260" s="108"/>
      <c r="AZ1260" s="108"/>
      <c r="BA1260" s="108"/>
      <c r="BB1260" s="108"/>
      <c r="BC1260" s="108"/>
      <c r="BD1260" s="108"/>
      <c r="BE1260" s="108"/>
      <c r="BF1260" s="108"/>
      <c r="BG1260" s="108"/>
      <c r="BH1260" s="108"/>
      <c r="BI1260" s="108"/>
      <c r="BJ1260" s="108"/>
      <c r="BK1260" s="108"/>
      <c r="BL1260" s="108"/>
      <c r="BM1260" s="108"/>
      <c r="BN1260" s="108"/>
      <c r="BO1260" s="108"/>
      <c r="BP1260" s="108"/>
      <c r="BQ1260" s="108"/>
      <c r="BR1260" s="108"/>
      <c r="BS1260" s="108"/>
      <c r="BT1260" s="108"/>
      <c r="BU1260" s="108"/>
      <c r="BV1260" s="108"/>
      <c r="BW1260" s="108"/>
      <c r="BX1260" s="108"/>
      <c r="BY1260" s="108"/>
      <c r="BZ1260" s="108"/>
      <c r="CA1260" s="108"/>
      <c r="CB1260" s="108"/>
      <c r="CC1260" s="108"/>
      <c r="CD1260" s="108"/>
      <c r="CE1260" s="108"/>
      <c r="CF1260" s="108"/>
      <c r="CG1260" s="108"/>
      <c r="CH1260" s="108"/>
      <c r="CI1260" s="108"/>
      <c r="CJ1260" s="108"/>
      <c r="CK1260" s="108"/>
      <c r="CL1260" s="108"/>
      <c r="CM1260" s="108"/>
      <c r="CN1260" s="110"/>
      <c r="CO1260" s="111"/>
      <c r="CP1260" s="110"/>
      <c r="CQ1260" s="111"/>
      <c r="CR1260" s="110"/>
      <c r="CS1260" s="111"/>
      <c r="CT1260" s="112">
        <f t="shared" si="313"/>
        <v>0</v>
      </c>
      <c r="CU1260" s="113"/>
      <c r="CV1260" s="114"/>
      <c r="CW1260" s="115"/>
      <c r="CX1260" s="116"/>
      <c r="CY1260" s="117"/>
      <c r="CZ1260" s="116"/>
      <c r="DA1260" s="113"/>
      <c r="DB1260" s="114"/>
      <c r="DC1260" s="64"/>
      <c r="DD1260" s="118"/>
    </row>
    <row r="1261" spans="1:108" s="119" customFormat="1" ht="24" outlineLevel="2">
      <c r="A1261" s="178">
        <v>40496</v>
      </c>
      <c r="B1261" s="82" t="s">
        <v>956</v>
      </c>
      <c r="C1261" s="164" t="s">
        <v>584</v>
      </c>
      <c r="D1261" s="166" t="s">
        <v>1262</v>
      </c>
      <c r="E1261" s="163"/>
      <c r="F1261" s="105"/>
      <c r="G1261" s="105"/>
      <c r="H1261" s="105">
        <v>2100</v>
      </c>
      <c r="I1261" s="105">
        <v>420</v>
      </c>
      <c r="J1261" s="105"/>
      <c r="K1261" s="105">
        <v>370</v>
      </c>
      <c r="L1261" s="105"/>
      <c r="M1261" s="105"/>
      <c r="N1261" s="105"/>
      <c r="O1261" s="105"/>
      <c r="P1261" s="105"/>
      <c r="Q1261" s="105"/>
      <c r="R1261" s="105"/>
      <c r="S1261" s="105"/>
      <c r="T1261" s="106"/>
      <c r="U1261" s="130"/>
      <c r="V1261" s="1"/>
      <c r="W1261" s="68">
        <f t="shared" si="308"/>
        <v>0</v>
      </c>
      <c r="X1261" s="68">
        <f t="shared" si="309"/>
        <v>0</v>
      </c>
      <c r="Y1261" s="68">
        <f t="shared" si="310"/>
        <v>0</v>
      </c>
      <c r="Z1261" s="68">
        <f t="shared" si="311"/>
        <v>0</v>
      </c>
      <c r="AA1261" s="68"/>
      <c r="AB1261" s="68">
        <v>0</v>
      </c>
      <c r="AC1261" s="69">
        <f t="shared" si="312"/>
        <v>0</v>
      </c>
      <c r="AD1261" s="70">
        <v>0</v>
      </c>
      <c r="AE1261" s="63">
        <v>40497</v>
      </c>
      <c r="AF1261" s="72"/>
      <c r="AG1261" s="63" t="s">
        <v>954</v>
      </c>
      <c r="AH1261" s="23" t="s">
        <v>955</v>
      </c>
      <c r="AI1261" s="60"/>
      <c r="AJ1261" s="124" t="s">
        <v>52</v>
      </c>
      <c r="AK1261" s="121" t="s">
        <v>51</v>
      </c>
      <c r="AL1261" s="107"/>
      <c r="AM1261" s="108"/>
      <c r="AN1261" s="109"/>
      <c r="AO1261" s="108"/>
      <c r="AP1261" s="108"/>
      <c r="AQ1261" s="108"/>
      <c r="AR1261" s="108"/>
      <c r="AS1261" s="108"/>
      <c r="AT1261" s="108"/>
      <c r="AU1261" s="108"/>
      <c r="AV1261" s="108"/>
      <c r="AW1261" s="108"/>
      <c r="AX1261" s="108"/>
      <c r="AY1261" s="108"/>
      <c r="AZ1261" s="108"/>
      <c r="BA1261" s="108"/>
      <c r="BB1261" s="108"/>
      <c r="BC1261" s="108"/>
      <c r="BD1261" s="108"/>
      <c r="BE1261" s="108"/>
      <c r="BF1261" s="108"/>
      <c r="BG1261" s="108"/>
      <c r="BH1261" s="108"/>
      <c r="BI1261" s="108"/>
      <c r="BJ1261" s="108"/>
      <c r="BK1261" s="108"/>
      <c r="BL1261" s="108"/>
      <c r="BM1261" s="108"/>
      <c r="BN1261" s="108"/>
      <c r="BO1261" s="108"/>
      <c r="BP1261" s="108"/>
      <c r="BQ1261" s="108"/>
      <c r="BR1261" s="108"/>
      <c r="BS1261" s="108"/>
      <c r="BT1261" s="108"/>
      <c r="BU1261" s="108"/>
      <c r="BV1261" s="108"/>
      <c r="BW1261" s="108"/>
      <c r="BX1261" s="108"/>
      <c r="BY1261" s="108"/>
      <c r="BZ1261" s="108"/>
      <c r="CA1261" s="108"/>
      <c r="CB1261" s="108"/>
      <c r="CC1261" s="108"/>
      <c r="CD1261" s="108"/>
      <c r="CE1261" s="108"/>
      <c r="CF1261" s="108"/>
      <c r="CG1261" s="108"/>
      <c r="CH1261" s="108"/>
      <c r="CI1261" s="108"/>
      <c r="CJ1261" s="108"/>
      <c r="CK1261" s="108"/>
      <c r="CL1261" s="108"/>
      <c r="CM1261" s="108"/>
      <c r="CN1261" s="110"/>
      <c r="CO1261" s="111"/>
      <c r="CP1261" s="110"/>
      <c r="CQ1261" s="111"/>
      <c r="CR1261" s="110"/>
      <c r="CS1261" s="111"/>
      <c r="CT1261" s="112">
        <f t="shared" si="313"/>
        <v>0</v>
      </c>
      <c r="CU1261" s="113"/>
      <c r="CV1261" s="114"/>
      <c r="CW1261" s="115"/>
      <c r="CX1261" s="116"/>
      <c r="CY1261" s="117"/>
      <c r="CZ1261" s="116"/>
      <c r="DA1261" s="113"/>
      <c r="DB1261" s="114"/>
      <c r="DC1261" s="64"/>
      <c r="DD1261" s="118"/>
    </row>
    <row r="1262" spans="1:108" s="119" customFormat="1" ht="24" outlineLevel="2">
      <c r="A1262" s="178">
        <v>40496</v>
      </c>
      <c r="B1262" s="82" t="s">
        <v>956</v>
      </c>
      <c r="C1262" s="164" t="s">
        <v>766</v>
      </c>
      <c r="D1262" s="165" t="s">
        <v>1182</v>
      </c>
      <c r="E1262" s="163">
        <v>4</v>
      </c>
      <c r="F1262" s="105">
        <v>4</v>
      </c>
      <c r="G1262" s="105"/>
      <c r="H1262" s="105">
        <v>60</v>
      </c>
      <c r="I1262" s="105">
        <v>7</v>
      </c>
      <c r="J1262" s="105">
        <v>2</v>
      </c>
      <c r="K1262" s="105">
        <v>5</v>
      </c>
      <c r="L1262" s="105"/>
      <c r="M1262" s="105"/>
      <c r="N1262" s="105"/>
      <c r="O1262" s="105">
        <v>1</v>
      </c>
      <c r="P1262" s="105"/>
      <c r="Q1262" s="105"/>
      <c r="R1262" s="105"/>
      <c r="S1262" s="105"/>
      <c r="T1262" s="106"/>
      <c r="U1262" s="130"/>
      <c r="V1262" s="1"/>
      <c r="W1262" s="68">
        <f t="shared" si="308"/>
        <v>0</v>
      </c>
      <c r="X1262" s="68">
        <f t="shared" si="309"/>
        <v>0</v>
      </c>
      <c r="Y1262" s="68">
        <f t="shared" si="310"/>
        <v>0</v>
      </c>
      <c r="Z1262" s="68">
        <f t="shared" si="311"/>
        <v>0</v>
      </c>
      <c r="AA1262" s="68"/>
      <c r="AB1262" s="68">
        <v>0</v>
      </c>
      <c r="AC1262" s="69">
        <f t="shared" si="312"/>
        <v>0</v>
      </c>
      <c r="AD1262" s="70">
        <v>0</v>
      </c>
      <c r="AE1262" s="63">
        <v>40497</v>
      </c>
      <c r="AF1262" s="72"/>
      <c r="AG1262" s="63" t="s">
        <v>954</v>
      </c>
      <c r="AH1262" s="23" t="s">
        <v>955</v>
      </c>
      <c r="AI1262" s="60"/>
      <c r="AJ1262" s="124" t="s">
        <v>680</v>
      </c>
      <c r="AK1262" s="121" t="s">
        <v>31</v>
      </c>
      <c r="AL1262" s="107"/>
      <c r="AM1262" s="108"/>
      <c r="AN1262" s="109"/>
      <c r="AO1262" s="108"/>
      <c r="AP1262" s="108"/>
      <c r="AQ1262" s="108"/>
      <c r="AR1262" s="108"/>
      <c r="AS1262" s="108"/>
      <c r="AT1262" s="108"/>
      <c r="AU1262" s="108"/>
      <c r="AV1262" s="108"/>
      <c r="AW1262" s="108"/>
      <c r="AX1262" s="108"/>
      <c r="AY1262" s="108"/>
      <c r="AZ1262" s="108"/>
      <c r="BA1262" s="108"/>
      <c r="BB1262" s="108"/>
      <c r="BC1262" s="108"/>
      <c r="BD1262" s="108"/>
      <c r="BE1262" s="108"/>
      <c r="BF1262" s="108"/>
      <c r="BG1262" s="108"/>
      <c r="BH1262" s="108"/>
      <c r="BI1262" s="108"/>
      <c r="BJ1262" s="108"/>
      <c r="BK1262" s="108"/>
      <c r="BL1262" s="108"/>
      <c r="BM1262" s="108"/>
      <c r="BN1262" s="108"/>
      <c r="BO1262" s="108"/>
      <c r="BP1262" s="108"/>
      <c r="BQ1262" s="108"/>
      <c r="BR1262" s="108"/>
      <c r="BS1262" s="108"/>
      <c r="BT1262" s="108"/>
      <c r="BU1262" s="108"/>
      <c r="BV1262" s="108"/>
      <c r="BW1262" s="108"/>
      <c r="BX1262" s="108"/>
      <c r="BY1262" s="108"/>
      <c r="BZ1262" s="108"/>
      <c r="CA1262" s="108"/>
      <c r="CB1262" s="108"/>
      <c r="CC1262" s="108"/>
      <c r="CD1262" s="108"/>
      <c r="CE1262" s="108"/>
      <c r="CF1262" s="108"/>
      <c r="CG1262" s="108"/>
      <c r="CH1262" s="108"/>
      <c r="CI1262" s="108"/>
      <c r="CJ1262" s="108"/>
      <c r="CK1262" s="108"/>
      <c r="CL1262" s="108"/>
      <c r="CM1262" s="108"/>
      <c r="CN1262" s="110"/>
      <c r="CO1262" s="111"/>
      <c r="CP1262" s="110"/>
      <c r="CQ1262" s="111"/>
      <c r="CR1262" s="110"/>
      <c r="CS1262" s="111"/>
      <c r="CT1262" s="112">
        <f t="shared" si="313"/>
        <v>0</v>
      </c>
      <c r="CU1262" s="113"/>
      <c r="CV1262" s="114"/>
      <c r="CW1262" s="115"/>
      <c r="CX1262" s="116"/>
      <c r="CY1262" s="117"/>
      <c r="CZ1262" s="116"/>
      <c r="DA1262" s="113"/>
      <c r="DB1262" s="114"/>
      <c r="DC1262" s="64"/>
      <c r="DD1262" s="118"/>
    </row>
    <row r="1263" spans="1:108" s="119" customFormat="1" ht="36" outlineLevel="2">
      <c r="A1263" s="178">
        <v>40497</v>
      </c>
      <c r="B1263" s="82" t="s">
        <v>956</v>
      </c>
      <c r="C1263" s="164" t="s">
        <v>1052</v>
      </c>
      <c r="D1263" s="165" t="s">
        <v>1182</v>
      </c>
      <c r="E1263" s="163">
        <v>1</v>
      </c>
      <c r="F1263" s="105">
        <v>1</v>
      </c>
      <c r="G1263" s="105"/>
      <c r="H1263" s="105">
        <v>10</v>
      </c>
      <c r="I1263" s="105">
        <v>2</v>
      </c>
      <c r="J1263" s="105"/>
      <c r="K1263" s="105">
        <v>2</v>
      </c>
      <c r="L1263" s="105"/>
      <c r="M1263" s="105"/>
      <c r="N1263" s="105"/>
      <c r="O1263" s="105"/>
      <c r="P1263" s="105"/>
      <c r="Q1263" s="105"/>
      <c r="R1263" s="105"/>
      <c r="S1263" s="105"/>
      <c r="T1263" s="106"/>
      <c r="U1263" s="130"/>
      <c r="V1263" s="1"/>
      <c r="W1263" s="68">
        <f t="shared" si="308"/>
        <v>0</v>
      </c>
      <c r="X1263" s="68">
        <f t="shared" si="309"/>
        <v>0</v>
      </c>
      <c r="Y1263" s="68">
        <f t="shared" si="310"/>
        <v>0</v>
      </c>
      <c r="Z1263" s="68">
        <f t="shared" si="311"/>
        <v>0</v>
      </c>
      <c r="AA1263" s="68"/>
      <c r="AB1263" s="68">
        <v>0</v>
      </c>
      <c r="AC1263" s="69">
        <f t="shared" si="312"/>
        <v>0</v>
      </c>
      <c r="AD1263" s="70">
        <v>0</v>
      </c>
      <c r="AE1263" s="63">
        <v>40498</v>
      </c>
      <c r="AF1263" s="72"/>
      <c r="AG1263" s="63" t="s">
        <v>938</v>
      </c>
      <c r="AH1263" s="23" t="s">
        <v>939</v>
      </c>
      <c r="AI1263" s="60"/>
      <c r="AJ1263" s="124" t="s">
        <v>52</v>
      </c>
      <c r="AK1263" s="121" t="s">
        <v>328</v>
      </c>
      <c r="AL1263" s="107"/>
      <c r="AM1263" s="108"/>
      <c r="AN1263" s="109"/>
      <c r="AO1263" s="108"/>
      <c r="AP1263" s="108"/>
      <c r="AQ1263" s="108"/>
      <c r="AR1263" s="108"/>
      <c r="AS1263" s="108"/>
      <c r="AT1263" s="108"/>
      <c r="AU1263" s="108"/>
      <c r="AV1263" s="108"/>
      <c r="AW1263" s="108"/>
      <c r="AX1263" s="108"/>
      <c r="AY1263" s="108"/>
      <c r="AZ1263" s="108"/>
      <c r="BA1263" s="108"/>
      <c r="BB1263" s="108"/>
      <c r="BC1263" s="108"/>
      <c r="BD1263" s="108"/>
      <c r="BE1263" s="108"/>
      <c r="BF1263" s="108"/>
      <c r="BG1263" s="108"/>
      <c r="BH1263" s="108"/>
      <c r="BI1263" s="108"/>
      <c r="BJ1263" s="108"/>
      <c r="BK1263" s="108"/>
      <c r="BL1263" s="108"/>
      <c r="BM1263" s="108"/>
      <c r="BN1263" s="108"/>
      <c r="BO1263" s="108"/>
      <c r="BP1263" s="108"/>
      <c r="BQ1263" s="108"/>
      <c r="BR1263" s="108"/>
      <c r="BS1263" s="108"/>
      <c r="BT1263" s="108"/>
      <c r="BU1263" s="108"/>
      <c r="BV1263" s="108"/>
      <c r="BW1263" s="108"/>
      <c r="BX1263" s="108"/>
      <c r="BY1263" s="108"/>
      <c r="BZ1263" s="108"/>
      <c r="CA1263" s="108"/>
      <c r="CB1263" s="108"/>
      <c r="CC1263" s="108"/>
      <c r="CD1263" s="108"/>
      <c r="CE1263" s="108"/>
      <c r="CF1263" s="108"/>
      <c r="CG1263" s="108"/>
      <c r="CH1263" s="108"/>
      <c r="CI1263" s="108"/>
      <c r="CJ1263" s="108"/>
      <c r="CK1263" s="108"/>
      <c r="CL1263" s="108"/>
      <c r="CM1263" s="108"/>
      <c r="CN1263" s="110"/>
      <c r="CO1263" s="111"/>
      <c r="CP1263" s="110"/>
      <c r="CQ1263" s="111"/>
      <c r="CR1263" s="110"/>
      <c r="CS1263" s="111"/>
      <c r="CT1263" s="112">
        <f t="shared" si="313"/>
        <v>0</v>
      </c>
      <c r="CU1263" s="113"/>
      <c r="CV1263" s="114"/>
      <c r="CW1263" s="115"/>
      <c r="CX1263" s="116"/>
      <c r="CY1263" s="117"/>
      <c r="CZ1263" s="116"/>
      <c r="DA1263" s="113"/>
      <c r="DB1263" s="114"/>
      <c r="DC1263" s="64"/>
      <c r="DD1263" s="118"/>
    </row>
    <row r="1264" spans="1:108" s="119" customFormat="1" ht="24" outlineLevel="2">
      <c r="A1264" s="178">
        <v>40498</v>
      </c>
      <c r="B1264" s="82" t="s">
        <v>956</v>
      </c>
      <c r="C1264" s="164" t="s">
        <v>2379</v>
      </c>
      <c r="D1264" s="165" t="s">
        <v>1182</v>
      </c>
      <c r="E1264" s="163"/>
      <c r="F1264" s="105"/>
      <c r="G1264" s="105"/>
      <c r="H1264" s="105">
        <v>5</v>
      </c>
      <c r="I1264" s="105">
        <v>1</v>
      </c>
      <c r="J1264" s="105"/>
      <c r="K1264" s="105">
        <v>1</v>
      </c>
      <c r="L1264" s="105"/>
      <c r="M1264" s="105"/>
      <c r="N1264" s="105"/>
      <c r="O1264" s="105"/>
      <c r="P1264" s="105"/>
      <c r="Q1264" s="105"/>
      <c r="R1264" s="105"/>
      <c r="S1264" s="105"/>
      <c r="T1264" s="106"/>
      <c r="U1264" s="130"/>
      <c r="V1264" s="1"/>
      <c r="W1264" s="68">
        <f t="shared" si="308"/>
        <v>0</v>
      </c>
      <c r="X1264" s="68">
        <f t="shared" si="309"/>
        <v>0</v>
      </c>
      <c r="Y1264" s="68">
        <f t="shared" si="310"/>
        <v>0</v>
      </c>
      <c r="Z1264" s="68">
        <f t="shared" si="311"/>
        <v>0</v>
      </c>
      <c r="AA1264" s="68"/>
      <c r="AB1264" s="68">
        <v>0</v>
      </c>
      <c r="AC1264" s="69">
        <f t="shared" si="312"/>
        <v>0</v>
      </c>
      <c r="AD1264" s="70">
        <v>0</v>
      </c>
      <c r="AE1264" s="63">
        <v>40505</v>
      </c>
      <c r="AF1264" s="72"/>
      <c r="AG1264" s="63" t="s">
        <v>938</v>
      </c>
      <c r="AH1264" s="23" t="s">
        <v>939</v>
      </c>
      <c r="AI1264" s="60"/>
      <c r="AJ1264" s="124" t="s">
        <v>1608</v>
      </c>
      <c r="AK1264" s="121" t="s">
        <v>714</v>
      </c>
      <c r="AL1264" s="107"/>
      <c r="AM1264" s="108"/>
      <c r="AN1264" s="109"/>
      <c r="AO1264" s="108"/>
      <c r="AP1264" s="108"/>
      <c r="AQ1264" s="108"/>
      <c r="AR1264" s="108"/>
      <c r="AS1264" s="108"/>
      <c r="AT1264" s="108"/>
      <c r="AU1264" s="108"/>
      <c r="AV1264" s="108"/>
      <c r="AW1264" s="108"/>
      <c r="AX1264" s="108"/>
      <c r="AY1264" s="108"/>
      <c r="AZ1264" s="108"/>
      <c r="BA1264" s="108"/>
      <c r="BB1264" s="108"/>
      <c r="BC1264" s="108"/>
      <c r="BD1264" s="108"/>
      <c r="BE1264" s="108"/>
      <c r="BF1264" s="108"/>
      <c r="BG1264" s="108"/>
      <c r="BH1264" s="108"/>
      <c r="BI1264" s="108"/>
      <c r="BJ1264" s="108"/>
      <c r="BK1264" s="108"/>
      <c r="BL1264" s="108"/>
      <c r="BM1264" s="108"/>
      <c r="BN1264" s="108"/>
      <c r="BO1264" s="108"/>
      <c r="BP1264" s="108"/>
      <c r="BQ1264" s="108"/>
      <c r="BR1264" s="108"/>
      <c r="BS1264" s="108"/>
      <c r="BT1264" s="108"/>
      <c r="BU1264" s="108"/>
      <c r="BV1264" s="108"/>
      <c r="BW1264" s="108"/>
      <c r="BX1264" s="108"/>
      <c r="BY1264" s="108"/>
      <c r="BZ1264" s="108"/>
      <c r="CA1264" s="108"/>
      <c r="CB1264" s="108"/>
      <c r="CC1264" s="108"/>
      <c r="CD1264" s="108"/>
      <c r="CE1264" s="108"/>
      <c r="CF1264" s="108"/>
      <c r="CG1264" s="108"/>
      <c r="CH1264" s="108"/>
      <c r="CI1264" s="108"/>
      <c r="CJ1264" s="108"/>
      <c r="CK1264" s="108"/>
      <c r="CL1264" s="108"/>
      <c r="CM1264" s="108"/>
      <c r="CN1264" s="110"/>
      <c r="CO1264" s="111"/>
      <c r="CP1264" s="110"/>
      <c r="CQ1264" s="111"/>
      <c r="CR1264" s="110"/>
      <c r="CS1264" s="111"/>
      <c r="CT1264" s="112">
        <f t="shared" si="313"/>
        <v>0</v>
      </c>
      <c r="CU1264" s="113"/>
      <c r="CV1264" s="114"/>
      <c r="CW1264" s="115"/>
      <c r="CX1264" s="116"/>
      <c r="CY1264" s="117"/>
      <c r="CZ1264" s="116"/>
      <c r="DA1264" s="113"/>
      <c r="DB1264" s="114"/>
      <c r="DC1264" s="64"/>
      <c r="DD1264" s="118"/>
    </row>
    <row r="1265" spans="1:108" s="119" customFormat="1" outlineLevel="2">
      <c r="A1265" s="178">
        <v>40501</v>
      </c>
      <c r="B1265" s="82" t="s">
        <v>956</v>
      </c>
      <c r="C1265" s="164" t="s">
        <v>1529</v>
      </c>
      <c r="D1265" s="165" t="s">
        <v>1182</v>
      </c>
      <c r="E1265" s="163"/>
      <c r="F1265" s="105"/>
      <c r="G1265" s="105"/>
      <c r="H1265" s="105">
        <v>40</v>
      </c>
      <c r="I1265" s="105">
        <v>8</v>
      </c>
      <c r="J1265" s="105"/>
      <c r="K1265" s="105">
        <v>8</v>
      </c>
      <c r="L1265" s="105">
        <v>5</v>
      </c>
      <c r="M1265" s="105"/>
      <c r="N1265" s="105"/>
      <c r="O1265" s="105"/>
      <c r="P1265" s="105"/>
      <c r="Q1265" s="105"/>
      <c r="R1265" s="105"/>
      <c r="S1265" s="105"/>
      <c r="T1265" s="106"/>
      <c r="U1265" s="130"/>
      <c r="V1265" s="1"/>
      <c r="W1265" s="68">
        <f t="shared" si="308"/>
        <v>0</v>
      </c>
      <c r="X1265" s="68">
        <f t="shared" si="309"/>
        <v>0</v>
      </c>
      <c r="Y1265" s="68">
        <f t="shared" si="310"/>
        <v>0</v>
      </c>
      <c r="Z1265" s="68">
        <f t="shared" si="311"/>
        <v>0</v>
      </c>
      <c r="AA1265" s="68"/>
      <c r="AB1265" s="68">
        <v>0</v>
      </c>
      <c r="AC1265" s="69">
        <f t="shared" si="312"/>
        <v>0</v>
      </c>
      <c r="AD1265" s="70">
        <v>0</v>
      </c>
      <c r="AE1265" s="63">
        <v>40502</v>
      </c>
      <c r="AF1265" s="72"/>
      <c r="AG1265" s="63" t="s">
        <v>954</v>
      </c>
      <c r="AH1265" s="23" t="s">
        <v>955</v>
      </c>
      <c r="AI1265" s="60"/>
      <c r="AJ1265" s="124" t="s">
        <v>554</v>
      </c>
      <c r="AK1265" s="121" t="s">
        <v>664</v>
      </c>
      <c r="AL1265" s="107"/>
      <c r="AM1265" s="108"/>
      <c r="AN1265" s="109"/>
      <c r="AO1265" s="108"/>
      <c r="AP1265" s="108"/>
      <c r="AQ1265" s="108"/>
      <c r="AR1265" s="108"/>
      <c r="AS1265" s="108"/>
      <c r="AT1265" s="108"/>
      <c r="AU1265" s="108"/>
      <c r="AV1265" s="108"/>
      <c r="AW1265" s="108"/>
      <c r="AX1265" s="108"/>
      <c r="AY1265" s="108"/>
      <c r="AZ1265" s="108"/>
      <c r="BA1265" s="108"/>
      <c r="BB1265" s="108"/>
      <c r="BC1265" s="108"/>
      <c r="BD1265" s="108"/>
      <c r="BE1265" s="108"/>
      <c r="BF1265" s="108"/>
      <c r="BG1265" s="108"/>
      <c r="BH1265" s="108"/>
      <c r="BI1265" s="108"/>
      <c r="BJ1265" s="108"/>
      <c r="BK1265" s="108"/>
      <c r="BL1265" s="108"/>
      <c r="BM1265" s="108"/>
      <c r="BN1265" s="108"/>
      <c r="BO1265" s="108"/>
      <c r="BP1265" s="108"/>
      <c r="BQ1265" s="108"/>
      <c r="BR1265" s="108"/>
      <c r="BS1265" s="108"/>
      <c r="BT1265" s="108"/>
      <c r="BU1265" s="108"/>
      <c r="BV1265" s="108"/>
      <c r="BW1265" s="108"/>
      <c r="BX1265" s="108"/>
      <c r="BY1265" s="108"/>
      <c r="BZ1265" s="108"/>
      <c r="CA1265" s="108"/>
      <c r="CB1265" s="108"/>
      <c r="CC1265" s="108"/>
      <c r="CD1265" s="108"/>
      <c r="CE1265" s="108"/>
      <c r="CF1265" s="108"/>
      <c r="CG1265" s="108"/>
      <c r="CH1265" s="108"/>
      <c r="CI1265" s="108"/>
      <c r="CJ1265" s="108"/>
      <c r="CK1265" s="108"/>
      <c r="CL1265" s="108"/>
      <c r="CM1265" s="108"/>
      <c r="CN1265" s="110"/>
      <c r="CO1265" s="111"/>
      <c r="CP1265" s="110"/>
      <c r="CQ1265" s="111"/>
      <c r="CR1265" s="110"/>
      <c r="CS1265" s="111"/>
      <c r="CT1265" s="112">
        <f t="shared" si="313"/>
        <v>0</v>
      </c>
      <c r="CU1265" s="113"/>
      <c r="CV1265" s="114"/>
      <c r="CW1265" s="115"/>
      <c r="CX1265" s="116"/>
      <c r="CY1265" s="117"/>
      <c r="CZ1265" s="116"/>
      <c r="DA1265" s="113"/>
      <c r="DB1265" s="114"/>
      <c r="DC1265" s="64"/>
      <c r="DD1265" s="118"/>
    </row>
    <row r="1266" spans="1:108" s="119" customFormat="1" ht="24" outlineLevel="2">
      <c r="A1266" s="178">
        <v>40502</v>
      </c>
      <c r="B1266" s="82" t="s">
        <v>956</v>
      </c>
      <c r="C1266" s="164" t="s">
        <v>882</v>
      </c>
      <c r="D1266" s="166" t="s">
        <v>1262</v>
      </c>
      <c r="E1266" s="163">
        <v>1</v>
      </c>
      <c r="F1266" s="105"/>
      <c r="G1266" s="105"/>
      <c r="H1266" s="105"/>
      <c r="I1266" s="105"/>
      <c r="J1266" s="105"/>
      <c r="K1266" s="105"/>
      <c r="L1266" s="105">
        <v>8</v>
      </c>
      <c r="M1266" s="105"/>
      <c r="N1266" s="105"/>
      <c r="O1266" s="105">
        <v>1</v>
      </c>
      <c r="P1266" s="105"/>
      <c r="Q1266" s="105"/>
      <c r="R1266" s="105"/>
      <c r="S1266" s="105"/>
      <c r="T1266" s="106"/>
      <c r="U1266" s="130"/>
      <c r="V1266" s="1"/>
      <c r="W1266" s="68">
        <f t="shared" si="308"/>
        <v>0</v>
      </c>
      <c r="X1266" s="68">
        <f t="shared" si="309"/>
        <v>0</v>
      </c>
      <c r="Y1266" s="68">
        <f t="shared" si="310"/>
        <v>0</v>
      </c>
      <c r="Z1266" s="68">
        <f t="shared" si="311"/>
        <v>0</v>
      </c>
      <c r="AA1266" s="68"/>
      <c r="AB1266" s="68">
        <v>0</v>
      </c>
      <c r="AC1266" s="69">
        <f t="shared" si="312"/>
        <v>0</v>
      </c>
      <c r="AD1266" s="70">
        <v>0</v>
      </c>
      <c r="AE1266" s="63">
        <v>40504</v>
      </c>
      <c r="AF1266" s="72"/>
      <c r="AG1266" s="63" t="s">
        <v>938</v>
      </c>
      <c r="AH1266" s="23" t="s">
        <v>939</v>
      </c>
      <c r="AI1266" s="60"/>
      <c r="AJ1266" s="124" t="s">
        <v>1608</v>
      </c>
      <c r="AK1266" s="121" t="s">
        <v>663</v>
      </c>
      <c r="AL1266" s="107"/>
      <c r="AM1266" s="108"/>
      <c r="AN1266" s="109"/>
      <c r="AO1266" s="108"/>
      <c r="AP1266" s="108"/>
      <c r="AQ1266" s="108"/>
      <c r="AR1266" s="108"/>
      <c r="AS1266" s="108"/>
      <c r="AT1266" s="108"/>
      <c r="AU1266" s="108"/>
      <c r="AV1266" s="108"/>
      <c r="AW1266" s="108"/>
      <c r="AX1266" s="108"/>
      <c r="AY1266" s="108"/>
      <c r="AZ1266" s="108"/>
      <c r="BA1266" s="108"/>
      <c r="BB1266" s="108"/>
      <c r="BC1266" s="108"/>
      <c r="BD1266" s="108"/>
      <c r="BE1266" s="108"/>
      <c r="BF1266" s="108"/>
      <c r="BG1266" s="108"/>
      <c r="BH1266" s="108"/>
      <c r="BI1266" s="108"/>
      <c r="BJ1266" s="108"/>
      <c r="BK1266" s="108"/>
      <c r="BL1266" s="108"/>
      <c r="BM1266" s="108"/>
      <c r="BN1266" s="108"/>
      <c r="BO1266" s="108"/>
      <c r="BP1266" s="108"/>
      <c r="BQ1266" s="108"/>
      <c r="BR1266" s="108"/>
      <c r="BS1266" s="108"/>
      <c r="BT1266" s="108"/>
      <c r="BU1266" s="108"/>
      <c r="BV1266" s="108"/>
      <c r="BW1266" s="108"/>
      <c r="BX1266" s="108"/>
      <c r="BY1266" s="108"/>
      <c r="BZ1266" s="108"/>
      <c r="CA1266" s="108"/>
      <c r="CB1266" s="108"/>
      <c r="CC1266" s="108"/>
      <c r="CD1266" s="108"/>
      <c r="CE1266" s="108"/>
      <c r="CF1266" s="108"/>
      <c r="CG1266" s="108"/>
      <c r="CH1266" s="108"/>
      <c r="CI1266" s="108"/>
      <c r="CJ1266" s="108"/>
      <c r="CK1266" s="108"/>
      <c r="CL1266" s="108"/>
      <c r="CM1266" s="108"/>
      <c r="CN1266" s="110"/>
      <c r="CO1266" s="111"/>
      <c r="CP1266" s="110"/>
      <c r="CQ1266" s="111"/>
      <c r="CR1266" s="110"/>
      <c r="CS1266" s="111"/>
      <c r="CT1266" s="112">
        <f t="shared" si="313"/>
        <v>0</v>
      </c>
      <c r="CU1266" s="113"/>
      <c r="CV1266" s="114"/>
      <c r="CW1266" s="115"/>
      <c r="CX1266" s="116"/>
      <c r="CY1266" s="117"/>
      <c r="CZ1266" s="116"/>
      <c r="DA1266" s="113"/>
      <c r="DB1266" s="114"/>
      <c r="DC1266" s="64"/>
      <c r="DD1266" s="118"/>
    </row>
    <row r="1267" spans="1:108" s="119" customFormat="1" outlineLevel="2">
      <c r="A1267" s="178">
        <v>40503</v>
      </c>
      <c r="B1267" s="82" t="s">
        <v>956</v>
      </c>
      <c r="C1267" s="164" t="s">
        <v>881</v>
      </c>
      <c r="D1267" s="165" t="s">
        <v>1182</v>
      </c>
      <c r="E1267" s="163"/>
      <c r="F1267" s="105"/>
      <c r="G1267" s="105"/>
      <c r="H1267" s="105"/>
      <c r="I1267" s="105"/>
      <c r="J1267" s="105"/>
      <c r="K1267" s="105"/>
      <c r="L1267" s="105"/>
      <c r="M1267" s="105"/>
      <c r="N1267" s="105"/>
      <c r="O1267" s="105">
        <v>1</v>
      </c>
      <c r="P1267" s="105"/>
      <c r="Q1267" s="105"/>
      <c r="R1267" s="105"/>
      <c r="S1267" s="105"/>
      <c r="T1267" s="106"/>
      <c r="U1267" s="130"/>
      <c r="V1267" s="1"/>
      <c r="W1267" s="68">
        <f t="shared" ref="W1267:W1276" si="314">CT1267</f>
        <v>0</v>
      </c>
      <c r="X1267" s="68">
        <f t="shared" ref="X1267:X1276" si="315">CX1267</f>
        <v>0</v>
      </c>
      <c r="Y1267" s="68">
        <f t="shared" ref="Y1267:Y1276" si="316">CZ1267+DB1267</f>
        <v>0</v>
      </c>
      <c r="Z1267" s="68">
        <f t="shared" ref="Z1267:Z1276" si="317">CV1267</f>
        <v>0</v>
      </c>
      <c r="AA1267" s="68"/>
      <c r="AB1267" s="68">
        <v>0</v>
      </c>
      <c r="AC1267" s="69">
        <f t="shared" ref="AC1267:AC1276" si="318">W1267+X1267+Y1267+Z1267+AA1267+AB1267</f>
        <v>0</v>
      </c>
      <c r="AD1267" s="70">
        <v>0</v>
      </c>
      <c r="AE1267" s="63">
        <v>40506</v>
      </c>
      <c r="AF1267" s="72"/>
      <c r="AG1267" s="63" t="s">
        <v>938</v>
      </c>
      <c r="AH1267" s="23" t="s">
        <v>939</v>
      </c>
      <c r="AI1267" s="60"/>
      <c r="AJ1267" s="124" t="s">
        <v>1608</v>
      </c>
      <c r="AK1267" s="121" t="s">
        <v>301</v>
      </c>
      <c r="AL1267" s="107"/>
      <c r="AM1267" s="108"/>
      <c r="AN1267" s="109"/>
      <c r="AO1267" s="108"/>
      <c r="AP1267" s="108"/>
      <c r="AQ1267" s="108"/>
      <c r="AR1267" s="108"/>
      <c r="AS1267" s="108"/>
      <c r="AT1267" s="108"/>
      <c r="AU1267" s="108"/>
      <c r="AV1267" s="108"/>
      <c r="AW1267" s="108"/>
      <c r="AX1267" s="108"/>
      <c r="AY1267" s="108"/>
      <c r="AZ1267" s="108"/>
      <c r="BA1267" s="108"/>
      <c r="BB1267" s="108"/>
      <c r="BC1267" s="108"/>
      <c r="BD1267" s="108"/>
      <c r="BE1267" s="108"/>
      <c r="BF1267" s="108"/>
      <c r="BG1267" s="108"/>
      <c r="BH1267" s="108"/>
      <c r="BI1267" s="108"/>
      <c r="BJ1267" s="108"/>
      <c r="BK1267" s="108"/>
      <c r="BL1267" s="108"/>
      <c r="BM1267" s="108"/>
      <c r="BN1267" s="108"/>
      <c r="BO1267" s="108"/>
      <c r="BP1267" s="108"/>
      <c r="BQ1267" s="108"/>
      <c r="BR1267" s="108"/>
      <c r="BS1267" s="108"/>
      <c r="BT1267" s="108"/>
      <c r="BU1267" s="108"/>
      <c r="BV1267" s="108"/>
      <c r="BW1267" s="108"/>
      <c r="BX1267" s="108"/>
      <c r="BY1267" s="108"/>
      <c r="BZ1267" s="108"/>
      <c r="CA1267" s="108"/>
      <c r="CB1267" s="108"/>
      <c r="CC1267" s="108"/>
      <c r="CD1267" s="108"/>
      <c r="CE1267" s="108"/>
      <c r="CF1267" s="108"/>
      <c r="CG1267" s="108"/>
      <c r="CH1267" s="108"/>
      <c r="CI1267" s="108"/>
      <c r="CJ1267" s="108"/>
      <c r="CK1267" s="108"/>
      <c r="CL1267" s="108"/>
      <c r="CM1267" s="108"/>
      <c r="CN1267" s="110"/>
      <c r="CO1267" s="111"/>
      <c r="CP1267" s="110"/>
      <c r="CQ1267" s="111"/>
      <c r="CR1267" s="110"/>
      <c r="CS1267" s="111"/>
      <c r="CT1267" s="112">
        <f t="shared" ref="CT1267:CT1276" si="319">AM1267+AO1267+AQ1267+AS1267+AU1267+AW1267+AY1267+BA1267+BC1267+BE1267+BG1267+BI1267+BK1267+BM1267+BO1267+BQ1267+BS1267+BU1267+BW1267+BY1267+CA1267+CC1267+CE1267+CG1267+CI1267+CK1267+CM1267+CO1267+CQ1267+CS1267</f>
        <v>0</v>
      </c>
      <c r="CU1267" s="113"/>
      <c r="CV1267" s="114"/>
      <c r="CW1267" s="115"/>
      <c r="CX1267" s="116"/>
      <c r="CY1267" s="117"/>
      <c r="CZ1267" s="116"/>
      <c r="DA1267" s="113"/>
      <c r="DB1267" s="114"/>
      <c r="DC1267" s="64"/>
      <c r="DD1267" s="118"/>
    </row>
    <row r="1268" spans="1:108" s="119" customFormat="1" ht="24" outlineLevel="2">
      <c r="A1268" s="178">
        <v>40506</v>
      </c>
      <c r="B1268" s="82" t="s">
        <v>956</v>
      </c>
      <c r="C1268" s="164" t="s">
        <v>425</v>
      </c>
      <c r="D1268" s="165" t="s">
        <v>1182</v>
      </c>
      <c r="E1268" s="163">
        <v>1</v>
      </c>
      <c r="F1268" s="105"/>
      <c r="G1268" s="105"/>
      <c r="H1268" s="105"/>
      <c r="I1268" s="105"/>
      <c r="J1268" s="105"/>
      <c r="K1268" s="105"/>
      <c r="L1268" s="105">
        <v>6</v>
      </c>
      <c r="M1268" s="105"/>
      <c r="N1268" s="105"/>
      <c r="O1268" s="105"/>
      <c r="P1268" s="105"/>
      <c r="Q1268" s="105"/>
      <c r="R1268" s="105"/>
      <c r="S1268" s="105"/>
      <c r="T1268" s="106"/>
      <c r="U1268" s="130"/>
      <c r="V1268" s="1"/>
      <c r="W1268" s="68">
        <f t="shared" si="314"/>
        <v>0</v>
      </c>
      <c r="X1268" s="68">
        <f t="shared" si="315"/>
        <v>0</v>
      </c>
      <c r="Y1268" s="68">
        <f t="shared" si="316"/>
        <v>0</v>
      </c>
      <c r="Z1268" s="68">
        <f t="shared" si="317"/>
        <v>0</v>
      </c>
      <c r="AA1268" s="68"/>
      <c r="AB1268" s="68">
        <v>0</v>
      </c>
      <c r="AC1268" s="69">
        <f t="shared" si="318"/>
        <v>0</v>
      </c>
      <c r="AD1268" s="70">
        <v>0</v>
      </c>
      <c r="AE1268" s="63">
        <v>40506</v>
      </c>
      <c r="AF1268" s="72"/>
      <c r="AG1268" s="63" t="s">
        <v>938</v>
      </c>
      <c r="AH1268" s="23" t="s">
        <v>939</v>
      </c>
      <c r="AI1268" s="60"/>
      <c r="AJ1268" s="124" t="s">
        <v>1608</v>
      </c>
      <c r="AK1268" s="121" t="s">
        <v>300</v>
      </c>
      <c r="AL1268" s="107"/>
      <c r="AM1268" s="108"/>
      <c r="AN1268" s="109"/>
      <c r="AO1268" s="108"/>
      <c r="AP1268" s="108"/>
      <c r="AQ1268" s="108"/>
      <c r="AR1268" s="108"/>
      <c r="AS1268" s="108"/>
      <c r="AT1268" s="108"/>
      <c r="AU1268" s="108"/>
      <c r="AV1268" s="108"/>
      <c r="AW1268" s="108"/>
      <c r="AX1268" s="108"/>
      <c r="AY1268" s="108"/>
      <c r="AZ1268" s="108"/>
      <c r="BA1268" s="108"/>
      <c r="BB1268" s="108"/>
      <c r="BC1268" s="108"/>
      <c r="BD1268" s="108"/>
      <c r="BE1268" s="108"/>
      <c r="BF1268" s="108"/>
      <c r="BG1268" s="108"/>
      <c r="BH1268" s="108"/>
      <c r="BI1268" s="108"/>
      <c r="BJ1268" s="108"/>
      <c r="BK1268" s="108"/>
      <c r="BL1268" s="108"/>
      <c r="BM1268" s="108"/>
      <c r="BN1268" s="108"/>
      <c r="BO1268" s="108"/>
      <c r="BP1268" s="108"/>
      <c r="BQ1268" s="108"/>
      <c r="BR1268" s="108"/>
      <c r="BS1268" s="108"/>
      <c r="BT1268" s="108"/>
      <c r="BU1268" s="108"/>
      <c r="BV1268" s="108"/>
      <c r="BW1268" s="108"/>
      <c r="BX1268" s="108"/>
      <c r="BY1268" s="108"/>
      <c r="BZ1268" s="108"/>
      <c r="CA1268" s="108"/>
      <c r="CB1268" s="108"/>
      <c r="CC1268" s="108"/>
      <c r="CD1268" s="108"/>
      <c r="CE1268" s="108"/>
      <c r="CF1268" s="108"/>
      <c r="CG1268" s="108"/>
      <c r="CH1268" s="108"/>
      <c r="CI1268" s="108"/>
      <c r="CJ1268" s="108"/>
      <c r="CK1268" s="108"/>
      <c r="CL1268" s="108"/>
      <c r="CM1268" s="108"/>
      <c r="CN1268" s="110"/>
      <c r="CO1268" s="111"/>
      <c r="CP1268" s="110"/>
      <c r="CQ1268" s="111"/>
      <c r="CR1268" s="110"/>
      <c r="CS1268" s="111"/>
      <c r="CT1268" s="112">
        <f t="shared" si="319"/>
        <v>0</v>
      </c>
      <c r="CU1268" s="113"/>
      <c r="CV1268" s="114"/>
      <c r="CW1268" s="115"/>
      <c r="CX1268" s="116"/>
      <c r="CY1268" s="117"/>
      <c r="CZ1268" s="116"/>
      <c r="DA1268" s="113"/>
      <c r="DB1268" s="114"/>
      <c r="DC1268" s="64"/>
      <c r="DD1268" s="118"/>
    </row>
    <row r="1269" spans="1:108" s="119" customFormat="1" ht="24" outlineLevel="2">
      <c r="A1269" s="178">
        <v>40508</v>
      </c>
      <c r="B1269" s="164" t="s">
        <v>956</v>
      </c>
      <c r="C1269" s="164" t="s">
        <v>584</v>
      </c>
      <c r="D1269" s="166" t="s">
        <v>1182</v>
      </c>
      <c r="E1269" s="163"/>
      <c r="F1269" s="105"/>
      <c r="G1269" s="105"/>
      <c r="H1269" s="105">
        <v>10</v>
      </c>
      <c r="I1269" s="105">
        <v>2</v>
      </c>
      <c r="J1269" s="105"/>
      <c r="K1269" s="105">
        <v>2</v>
      </c>
      <c r="L1269" s="105"/>
      <c r="M1269" s="105"/>
      <c r="N1269" s="105"/>
      <c r="O1269" s="105"/>
      <c r="P1269" s="105"/>
      <c r="Q1269" s="105"/>
      <c r="R1269" s="105"/>
      <c r="S1269" s="105"/>
      <c r="T1269" s="106"/>
      <c r="U1269" s="130"/>
      <c r="V1269" s="1"/>
      <c r="W1269" s="68">
        <f t="shared" si="314"/>
        <v>0</v>
      </c>
      <c r="X1269" s="68">
        <f t="shared" si="315"/>
        <v>0</v>
      </c>
      <c r="Y1269" s="68">
        <f t="shared" si="316"/>
        <v>0</v>
      </c>
      <c r="Z1269" s="68">
        <f t="shared" si="317"/>
        <v>0</v>
      </c>
      <c r="AA1269" s="68"/>
      <c r="AB1269" s="68">
        <v>0</v>
      </c>
      <c r="AC1269" s="69">
        <f t="shared" si="318"/>
        <v>0</v>
      </c>
      <c r="AD1269" s="70">
        <v>0</v>
      </c>
      <c r="AE1269" s="63">
        <v>40510</v>
      </c>
      <c r="AF1269" s="72"/>
      <c r="AG1269" s="63" t="s">
        <v>938</v>
      </c>
      <c r="AH1269" s="23" t="s">
        <v>939</v>
      </c>
      <c r="AI1269" s="60"/>
      <c r="AJ1269" s="124" t="s">
        <v>1608</v>
      </c>
      <c r="AK1269" s="121" t="s">
        <v>358</v>
      </c>
      <c r="AL1269" s="107"/>
      <c r="AM1269" s="108"/>
      <c r="AN1269" s="109"/>
      <c r="AO1269" s="108"/>
      <c r="AP1269" s="108"/>
      <c r="AQ1269" s="108"/>
      <c r="AR1269" s="108"/>
      <c r="AS1269" s="108"/>
      <c r="AT1269" s="108"/>
      <c r="AU1269" s="108"/>
      <c r="AV1269" s="108"/>
      <c r="AW1269" s="108"/>
      <c r="AX1269" s="108"/>
      <c r="AY1269" s="108"/>
      <c r="AZ1269" s="108"/>
      <c r="BA1269" s="108"/>
      <c r="BB1269" s="108"/>
      <c r="BC1269" s="108"/>
      <c r="BD1269" s="108"/>
      <c r="BE1269" s="108"/>
      <c r="BF1269" s="108"/>
      <c r="BG1269" s="108"/>
      <c r="BH1269" s="108"/>
      <c r="BI1269" s="108"/>
      <c r="BJ1269" s="108"/>
      <c r="BK1269" s="108"/>
      <c r="BL1269" s="108"/>
      <c r="BM1269" s="108"/>
      <c r="BN1269" s="108"/>
      <c r="BO1269" s="108"/>
      <c r="BP1269" s="108"/>
      <c r="BQ1269" s="108"/>
      <c r="BR1269" s="108"/>
      <c r="BS1269" s="108"/>
      <c r="BT1269" s="108"/>
      <c r="BU1269" s="108"/>
      <c r="BV1269" s="108"/>
      <c r="BW1269" s="108"/>
      <c r="BX1269" s="108"/>
      <c r="BY1269" s="108"/>
      <c r="BZ1269" s="108"/>
      <c r="CA1269" s="108"/>
      <c r="CB1269" s="108"/>
      <c r="CC1269" s="108"/>
      <c r="CD1269" s="108"/>
      <c r="CE1269" s="108"/>
      <c r="CF1269" s="108"/>
      <c r="CG1269" s="108"/>
      <c r="CH1269" s="108"/>
      <c r="CI1269" s="108"/>
      <c r="CJ1269" s="108"/>
      <c r="CK1269" s="108"/>
      <c r="CL1269" s="108"/>
      <c r="CM1269" s="108"/>
      <c r="CN1269" s="110"/>
      <c r="CO1269" s="111"/>
      <c r="CP1269" s="110"/>
      <c r="CQ1269" s="111"/>
      <c r="CR1269" s="110"/>
      <c r="CS1269" s="111"/>
      <c r="CT1269" s="112">
        <f t="shared" si="319"/>
        <v>0</v>
      </c>
      <c r="CU1269" s="113"/>
      <c r="CV1269" s="114"/>
      <c r="CW1269" s="115"/>
      <c r="CX1269" s="116"/>
      <c r="CY1269" s="117"/>
      <c r="CZ1269" s="116"/>
      <c r="DA1269" s="113"/>
      <c r="DB1269" s="114"/>
      <c r="DC1269" s="64"/>
      <c r="DD1269" s="118"/>
    </row>
    <row r="1270" spans="1:108" s="119" customFormat="1" ht="36" outlineLevel="2">
      <c r="A1270" s="178">
        <v>40513</v>
      </c>
      <c r="B1270" s="164" t="s">
        <v>956</v>
      </c>
      <c r="C1270" s="164" t="s">
        <v>584</v>
      </c>
      <c r="D1270" s="166" t="s">
        <v>1182</v>
      </c>
      <c r="E1270" s="163"/>
      <c r="F1270" s="105"/>
      <c r="G1270" s="105"/>
      <c r="H1270" s="105">
        <v>25</v>
      </c>
      <c r="I1270" s="105">
        <v>5</v>
      </c>
      <c r="J1270" s="105"/>
      <c r="K1270" s="105">
        <v>5</v>
      </c>
      <c r="L1270" s="105"/>
      <c r="M1270" s="105"/>
      <c r="N1270" s="105"/>
      <c r="O1270" s="105"/>
      <c r="P1270" s="105"/>
      <c r="Q1270" s="105"/>
      <c r="R1270" s="105"/>
      <c r="S1270" s="105"/>
      <c r="T1270" s="106"/>
      <c r="U1270" s="130"/>
      <c r="V1270" s="1"/>
      <c r="W1270" s="68">
        <f t="shared" si="314"/>
        <v>0</v>
      </c>
      <c r="X1270" s="68">
        <f t="shared" si="315"/>
        <v>0</v>
      </c>
      <c r="Y1270" s="68">
        <f t="shared" si="316"/>
        <v>0</v>
      </c>
      <c r="Z1270" s="68">
        <f t="shared" si="317"/>
        <v>0</v>
      </c>
      <c r="AA1270" s="68"/>
      <c r="AB1270" s="68">
        <v>0</v>
      </c>
      <c r="AC1270" s="69">
        <f t="shared" si="318"/>
        <v>0</v>
      </c>
      <c r="AD1270" s="70">
        <v>0</v>
      </c>
      <c r="AE1270" s="63"/>
      <c r="AF1270" s="72"/>
      <c r="AG1270" s="63"/>
      <c r="AH1270" s="23"/>
      <c r="AI1270" s="60"/>
      <c r="AJ1270" s="124"/>
      <c r="AK1270" s="121" t="s">
        <v>2123</v>
      </c>
      <c r="AL1270" s="107"/>
      <c r="AM1270" s="108"/>
      <c r="AN1270" s="109"/>
      <c r="AO1270" s="108"/>
      <c r="AP1270" s="108"/>
      <c r="AQ1270" s="108"/>
      <c r="AR1270" s="108"/>
      <c r="AS1270" s="108"/>
      <c r="AT1270" s="108"/>
      <c r="AU1270" s="108"/>
      <c r="AV1270" s="108"/>
      <c r="AW1270" s="108"/>
      <c r="AX1270" s="108"/>
      <c r="AY1270" s="108"/>
      <c r="AZ1270" s="108"/>
      <c r="BA1270" s="108"/>
      <c r="BB1270" s="108"/>
      <c r="BC1270" s="108"/>
      <c r="BD1270" s="108"/>
      <c r="BE1270" s="108"/>
      <c r="BF1270" s="108"/>
      <c r="BG1270" s="108"/>
      <c r="BH1270" s="108"/>
      <c r="BI1270" s="108"/>
      <c r="BJ1270" s="108"/>
      <c r="BK1270" s="108"/>
      <c r="BL1270" s="108"/>
      <c r="BM1270" s="108"/>
      <c r="BN1270" s="108"/>
      <c r="BO1270" s="108"/>
      <c r="BP1270" s="108"/>
      <c r="BQ1270" s="108"/>
      <c r="BR1270" s="108"/>
      <c r="BS1270" s="108"/>
      <c r="BT1270" s="108"/>
      <c r="BU1270" s="108"/>
      <c r="BV1270" s="108"/>
      <c r="BW1270" s="108"/>
      <c r="BX1270" s="108"/>
      <c r="BY1270" s="108"/>
      <c r="BZ1270" s="108"/>
      <c r="CA1270" s="108"/>
      <c r="CB1270" s="108"/>
      <c r="CC1270" s="108"/>
      <c r="CD1270" s="108"/>
      <c r="CE1270" s="108"/>
      <c r="CF1270" s="108"/>
      <c r="CG1270" s="108"/>
      <c r="CH1270" s="108"/>
      <c r="CI1270" s="108"/>
      <c r="CJ1270" s="108"/>
      <c r="CK1270" s="108"/>
      <c r="CL1270" s="108"/>
      <c r="CM1270" s="108"/>
      <c r="CN1270" s="110"/>
      <c r="CO1270" s="111"/>
      <c r="CP1270" s="110"/>
      <c r="CQ1270" s="111"/>
      <c r="CR1270" s="110"/>
      <c r="CS1270" s="111"/>
      <c r="CT1270" s="112">
        <f t="shared" si="319"/>
        <v>0</v>
      </c>
      <c r="CU1270" s="113"/>
      <c r="CV1270" s="114"/>
      <c r="CW1270" s="115"/>
      <c r="CX1270" s="116"/>
      <c r="CY1270" s="117"/>
      <c r="CZ1270" s="116"/>
      <c r="DA1270" s="113"/>
      <c r="DB1270" s="114"/>
      <c r="DC1270" s="64"/>
      <c r="DD1270" s="118"/>
    </row>
    <row r="1271" spans="1:108" s="119" customFormat="1" ht="24" outlineLevel="2">
      <c r="A1271" s="178">
        <v>40514</v>
      </c>
      <c r="B1271" s="164" t="s">
        <v>956</v>
      </c>
      <c r="C1271" s="164" t="s">
        <v>584</v>
      </c>
      <c r="D1271" s="166" t="s">
        <v>1182</v>
      </c>
      <c r="E1271" s="163"/>
      <c r="F1271" s="105"/>
      <c r="G1271" s="105"/>
      <c r="H1271" s="105">
        <v>10</v>
      </c>
      <c r="I1271" s="105">
        <v>2</v>
      </c>
      <c r="J1271" s="105"/>
      <c r="K1271" s="105">
        <v>2</v>
      </c>
      <c r="L1271" s="105"/>
      <c r="M1271" s="105"/>
      <c r="N1271" s="105"/>
      <c r="O1271" s="105"/>
      <c r="P1271" s="105"/>
      <c r="Q1271" s="105"/>
      <c r="R1271" s="105"/>
      <c r="S1271" s="105"/>
      <c r="T1271" s="106"/>
      <c r="U1271" s="130"/>
      <c r="V1271" s="1"/>
      <c r="W1271" s="68">
        <f t="shared" si="314"/>
        <v>0</v>
      </c>
      <c r="X1271" s="68">
        <f t="shared" si="315"/>
        <v>0</v>
      </c>
      <c r="Y1271" s="68">
        <f t="shared" si="316"/>
        <v>0</v>
      </c>
      <c r="Z1271" s="68">
        <f t="shared" si="317"/>
        <v>0</v>
      </c>
      <c r="AA1271" s="68"/>
      <c r="AB1271" s="68">
        <v>0</v>
      </c>
      <c r="AC1271" s="69">
        <f t="shared" si="318"/>
        <v>0</v>
      </c>
      <c r="AD1271" s="70">
        <v>0</v>
      </c>
      <c r="AE1271" s="63"/>
      <c r="AF1271" s="72"/>
      <c r="AG1271" s="63"/>
      <c r="AH1271" s="23"/>
      <c r="AI1271" s="60"/>
      <c r="AJ1271" s="124"/>
      <c r="AK1271" s="121" t="s">
        <v>2151</v>
      </c>
      <c r="AL1271" s="107"/>
      <c r="AM1271" s="108"/>
      <c r="AN1271" s="109"/>
      <c r="AO1271" s="108"/>
      <c r="AP1271" s="108"/>
      <c r="AQ1271" s="108"/>
      <c r="AR1271" s="108"/>
      <c r="AS1271" s="108"/>
      <c r="AT1271" s="108"/>
      <c r="AU1271" s="108"/>
      <c r="AV1271" s="108"/>
      <c r="AW1271" s="108"/>
      <c r="AX1271" s="108"/>
      <c r="AY1271" s="108"/>
      <c r="AZ1271" s="108"/>
      <c r="BA1271" s="108"/>
      <c r="BB1271" s="108"/>
      <c r="BC1271" s="108"/>
      <c r="BD1271" s="108"/>
      <c r="BE1271" s="108"/>
      <c r="BF1271" s="108"/>
      <c r="BG1271" s="108"/>
      <c r="BH1271" s="108"/>
      <c r="BI1271" s="108"/>
      <c r="BJ1271" s="108"/>
      <c r="BK1271" s="108"/>
      <c r="BL1271" s="108"/>
      <c r="BM1271" s="108"/>
      <c r="BN1271" s="108"/>
      <c r="BO1271" s="108"/>
      <c r="BP1271" s="108"/>
      <c r="BQ1271" s="108"/>
      <c r="BR1271" s="108"/>
      <c r="BS1271" s="108"/>
      <c r="BT1271" s="108"/>
      <c r="BU1271" s="108"/>
      <c r="BV1271" s="108"/>
      <c r="BW1271" s="108"/>
      <c r="BX1271" s="108"/>
      <c r="BY1271" s="108"/>
      <c r="BZ1271" s="108"/>
      <c r="CA1271" s="108"/>
      <c r="CB1271" s="108"/>
      <c r="CC1271" s="108"/>
      <c r="CD1271" s="108"/>
      <c r="CE1271" s="108"/>
      <c r="CF1271" s="108"/>
      <c r="CG1271" s="108"/>
      <c r="CH1271" s="108"/>
      <c r="CI1271" s="108"/>
      <c r="CJ1271" s="108"/>
      <c r="CK1271" s="108"/>
      <c r="CL1271" s="108"/>
      <c r="CM1271" s="108"/>
      <c r="CN1271" s="110"/>
      <c r="CO1271" s="111"/>
      <c r="CP1271" s="110"/>
      <c r="CQ1271" s="111"/>
      <c r="CR1271" s="110"/>
      <c r="CS1271" s="111"/>
      <c r="CT1271" s="112">
        <f t="shared" si="319"/>
        <v>0</v>
      </c>
      <c r="CU1271" s="113"/>
      <c r="CV1271" s="114"/>
      <c r="CW1271" s="115"/>
      <c r="CX1271" s="116"/>
      <c r="CY1271" s="117"/>
      <c r="CZ1271" s="116"/>
      <c r="DA1271" s="113"/>
      <c r="DB1271" s="114"/>
      <c r="DC1271" s="64"/>
      <c r="DD1271" s="118"/>
    </row>
    <row r="1272" spans="1:108" s="119" customFormat="1" outlineLevel="2">
      <c r="A1272" s="178">
        <v>40514</v>
      </c>
      <c r="B1272" s="164" t="s">
        <v>956</v>
      </c>
      <c r="C1272" s="164" t="s">
        <v>766</v>
      </c>
      <c r="D1272" s="166" t="s">
        <v>1182</v>
      </c>
      <c r="E1272" s="163">
        <v>1</v>
      </c>
      <c r="F1272" s="105">
        <v>1</v>
      </c>
      <c r="G1272" s="105"/>
      <c r="H1272" s="105"/>
      <c r="I1272" s="105"/>
      <c r="J1272" s="105"/>
      <c r="K1272" s="105"/>
      <c r="L1272" s="105"/>
      <c r="M1272" s="105"/>
      <c r="N1272" s="105"/>
      <c r="O1272" s="105"/>
      <c r="P1272" s="105"/>
      <c r="Q1272" s="105"/>
      <c r="R1272" s="105"/>
      <c r="S1272" s="105"/>
      <c r="T1272" s="106"/>
      <c r="U1272" s="130"/>
      <c r="V1272" s="1"/>
      <c r="W1272" s="68">
        <f t="shared" si="314"/>
        <v>0</v>
      </c>
      <c r="X1272" s="68">
        <f t="shared" si="315"/>
        <v>0</v>
      </c>
      <c r="Y1272" s="68">
        <f t="shared" si="316"/>
        <v>0</v>
      </c>
      <c r="Z1272" s="68">
        <f t="shared" si="317"/>
        <v>0</v>
      </c>
      <c r="AA1272" s="68"/>
      <c r="AB1272" s="68">
        <v>0</v>
      </c>
      <c r="AC1272" s="69">
        <f t="shared" si="318"/>
        <v>0</v>
      </c>
      <c r="AD1272" s="70">
        <v>0</v>
      </c>
      <c r="AE1272" s="63"/>
      <c r="AF1272" s="72"/>
      <c r="AG1272" s="63"/>
      <c r="AH1272" s="23"/>
      <c r="AI1272" s="60"/>
      <c r="AJ1272" s="124"/>
      <c r="AK1272" s="121" t="s">
        <v>2155</v>
      </c>
      <c r="AL1272" s="107"/>
      <c r="AM1272" s="108"/>
      <c r="AN1272" s="109"/>
      <c r="AO1272" s="108"/>
      <c r="AP1272" s="108"/>
      <c r="AQ1272" s="108"/>
      <c r="AR1272" s="108"/>
      <c r="AS1272" s="108"/>
      <c r="AT1272" s="108"/>
      <c r="AU1272" s="108"/>
      <c r="AV1272" s="108"/>
      <c r="AW1272" s="108"/>
      <c r="AX1272" s="108"/>
      <c r="AY1272" s="108"/>
      <c r="AZ1272" s="108"/>
      <c r="BA1272" s="108"/>
      <c r="BB1272" s="108"/>
      <c r="BC1272" s="108"/>
      <c r="BD1272" s="108"/>
      <c r="BE1272" s="108"/>
      <c r="BF1272" s="108"/>
      <c r="BG1272" s="108"/>
      <c r="BH1272" s="108"/>
      <c r="BI1272" s="108"/>
      <c r="BJ1272" s="108"/>
      <c r="BK1272" s="108"/>
      <c r="BL1272" s="108"/>
      <c r="BM1272" s="108"/>
      <c r="BN1272" s="108"/>
      <c r="BO1272" s="108"/>
      <c r="BP1272" s="108"/>
      <c r="BQ1272" s="108"/>
      <c r="BR1272" s="108"/>
      <c r="BS1272" s="108"/>
      <c r="BT1272" s="108"/>
      <c r="BU1272" s="108"/>
      <c r="BV1272" s="108"/>
      <c r="BW1272" s="108"/>
      <c r="BX1272" s="108"/>
      <c r="BY1272" s="108"/>
      <c r="BZ1272" s="108"/>
      <c r="CA1272" s="108"/>
      <c r="CB1272" s="108"/>
      <c r="CC1272" s="108"/>
      <c r="CD1272" s="108"/>
      <c r="CE1272" s="108"/>
      <c r="CF1272" s="108"/>
      <c r="CG1272" s="108"/>
      <c r="CH1272" s="108"/>
      <c r="CI1272" s="108"/>
      <c r="CJ1272" s="108"/>
      <c r="CK1272" s="108"/>
      <c r="CL1272" s="108"/>
      <c r="CM1272" s="108"/>
      <c r="CN1272" s="110"/>
      <c r="CO1272" s="111"/>
      <c r="CP1272" s="110"/>
      <c r="CQ1272" s="111"/>
      <c r="CR1272" s="110"/>
      <c r="CS1272" s="111"/>
      <c r="CT1272" s="112">
        <f t="shared" si="319"/>
        <v>0</v>
      </c>
      <c r="CU1272" s="113"/>
      <c r="CV1272" s="114"/>
      <c r="CW1272" s="115"/>
      <c r="CX1272" s="116"/>
      <c r="CY1272" s="117"/>
      <c r="CZ1272" s="116"/>
      <c r="DA1272" s="113"/>
      <c r="DB1272" s="114"/>
      <c r="DC1272" s="64"/>
      <c r="DD1272" s="118"/>
    </row>
    <row r="1273" spans="1:108" s="119" customFormat="1" ht="36" outlineLevel="2">
      <c r="A1273" s="178">
        <v>40515</v>
      </c>
      <c r="B1273" s="164" t="s">
        <v>956</v>
      </c>
      <c r="C1273" s="164" t="s">
        <v>584</v>
      </c>
      <c r="D1273" s="166" t="s">
        <v>1182</v>
      </c>
      <c r="E1273" s="163"/>
      <c r="F1273" s="105"/>
      <c r="G1273" s="105"/>
      <c r="H1273" s="105">
        <v>20</v>
      </c>
      <c r="I1273" s="105">
        <v>4</v>
      </c>
      <c r="J1273" s="105">
        <v>2</v>
      </c>
      <c r="K1273" s="105">
        <v>2</v>
      </c>
      <c r="L1273" s="105"/>
      <c r="M1273" s="105"/>
      <c r="N1273" s="105"/>
      <c r="O1273" s="105"/>
      <c r="P1273" s="105"/>
      <c r="Q1273" s="105"/>
      <c r="R1273" s="105"/>
      <c r="S1273" s="105"/>
      <c r="T1273" s="106"/>
      <c r="U1273" s="130"/>
      <c r="V1273" s="1"/>
      <c r="W1273" s="68">
        <f t="shared" si="314"/>
        <v>0</v>
      </c>
      <c r="X1273" s="68">
        <f t="shared" si="315"/>
        <v>0</v>
      </c>
      <c r="Y1273" s="68">
        <f t="shared" si="316"/>
        <v>0</v>
      </c>
      <c r="Z1273" s="68">
        <f t="shared" si="317"/>
        <v>0</v>
      </c>
      <c r="AA1273" s="68"/>
      <c r="AB1273" s="68">
        <v>0</v>
      </c>
      <c r="AC1273" s="69">
        <f t="shared" si="318"/>
        <v>0</v>
      </c>
      <c r="AD1273" s="70">
        <v>0</v>
      </c>
      <c r="AE1273" s="63"/>
      <c r="AF1273" s="72"/>
      <c r="AG1273" s="63"/>
      <c r="AH1273" s="23"/>
      <c r="AI1273" s="60"/>
      <c r="AJ1273" s="124"/>
      <c r="AK1273" s="121" t="s">
        <v>2186</v>
      </c>
      <c r="AL1273" s="107"/>
      <c r="AM1273" s="108"/>
      <c r="AN1273" s="109"/>
      <c r="AO1273" s="108"/>
      <c r="AP1273" s="108"/>
      <c r="AQ1273" s="108"/>
      <c r="AR1273" s="108"/>
      <c r="AS1273" s="108"/>
      <c r="AT1273" s="108"/>
      <c r="AU1273" s="108"/>
      <c r="AV1273" s="108"/>
      <c r="AW1273" s="108"/>
      <c r="AX1273" s="108"/>
      <c r="AY1273" s="108"/>
      <c r="AZ1273" s="108"/>
      <c r="BA1273" s="108"/>
      <c r="BB1273" s="108"/>
      <c r="BC1273" s="108"/>
      <c r="BD1273" s="108"/>
      <c r="BE1273" s="108"/>
      <c r="BF1273" s="108"/>
      <c r="BG1273" s="108"/>
      <c r="BH1273" s="108"/>
      <c r="BI1273" s="108"/>
      <c r="BJ1273" s="108"/>
      <c r="BK1273" s="108"/>
      <c r="BL1273" s="108"/>
      <c r="BM1273" s="108"/>
      <c r="BN1273" s="108"/>
      <c r="BO1273" s="108"/>
      <c r="BP1273" s="108"/>
      <c r="BQ1273" s="108"/>
      <c r="BR1273" s="108"/>
      <c r="BS1273" s="108"/>
      <c r="BT1273" s="108"/>
      <c r="BU1273" s="108"/>
      <c r="BV1273" s="108"/>
      <c r="BW1273" s="108"/>
      <c r="BX1273" s="108"/>
      <c r="BY1273" s="108"/>
      <c r="BZ1273" s="108"/>
      <c r="CA1273" s="108"/>
      <c r="CB1273" s="108"/>
      <c r="CC1273" s="108"/>
      <c r="CD1273" s="108"/>
      <c r="CE1273" s="108"/>
      <c r="CF1273" s="108"/>
      <c r="CG1273" s="108"/>
      <c r="CH1273" s="108"/>
      <c r="CI1273" s="108"/>
      <c r="CJ1273" s="108"/>
      <c r="CK1273" s="108"/>
      <c r="CL1273" s="108"/>
      <c r="CM1273" s="108"/>
      <c r="CN1273" s="110"/>
      <c r="CO1273" s="111"/>
      <c r="CP1273" s="110"/>
      <c r="CQ1273" s="111"/>
      <c r="CR1273" s="110"/>
      <c r="CS1273" s="111"/>
      <c r="CT1273" s="112">
        <f t="shared" si="319"/>
        <v>0</v>
      </c>
      <c r="CU1273" s="113"/>
      <c r="CV1273" s="114"/>
      <c r="CW1273" s="115"/>
      <c r="CX1273" s="116"/>
      <c r="CY1273" s="117"/>
      <c r="CZ1273" s="116"/>
      <c r="DA1273" s="113"/>
      <c r="DB1273" s="114"/>
      <c r="DC1273" s="64"/>
      <c r="DD1273" s="118"/>
    </row>
    <row r="1274" spans="1:108" s="119" customFormat="1" ht="24" outlineLevel="2">
      <c r="A1274" s="178">
        <v>40516</v>
      </c>
      <c r="B1274" s="164" t="s">
        <v>956</v>
      </c>
      <c r="C1274" s="164" t="s">
        <v>881</v>
      </c>
      <c r="D1274" s="166" t="s">
        <v>1182</v>
      </c>
      <c r="E1274" s="163">
        <v>3</v>
      </c>
      <c r="F1274" s="105">
        <v>3</v>
      </c>
      <c r="G1274" s="105"/>
      <c r="H1274" s="105"/>
      <c r="I1274" s="105"/>
      <c r="J1274" s="105"/>
      <c r="K1274" s="105"/>
      <c r="L1274" s="105">
        <v>12</v>
      </c>
      <c r="M1274" s="105"/>
      <c r="N1274" s="105"/>
      <c r="O1274" s="105"/>
      <c r="P1274" s="105"/>
      <c r="Q1274" s="105"/>
      <c r="R1274" s="105"/>
      <c r="S1274" s="105"/>
      <c r="T1274" s="106"/>
      <c r="U1274" s="130"/>
      <c r="V1274" s="1"/>
      <c r="W1274" s="68">
        <f t="shared" si="314"/>
        <v>0</v>
      </c>
      <c r="X1274" s="68">
        <f t="shared" si="315"/>
        <v>0</v>
      </c>
      <c r="Y1274" s="68">
        <f t="shared" si="316"/>
        <v>0</v>
      </c>
      <c r="Z1274" s="68">
        <f t="shared" si="317"/>
        <v>0</v>
      </c>
      <c r="AA1274" s="68"/>
      <c r="AB1274" s="68">
        <v>0</v>
      </c>
      <c r="AC1274" s="69">
        <f t="shared" si="318"/>
        <v>0</v>
      </c>
      <c r="AD1274" s="70">
        <v>0</v>
      </c>
      <c r="AE1274" s="63"/>
      <c r="AF1274" s="72"/>
      <c r="AG1274" s="63"/>
      <c r="AH1274" s="23"/>
      <c r="AI1274" s="60"/>
      <c r="AJ1274" s="124"/>
      <c r="AK1274" s="121" t="s">
        <v>2197</v>
      </c>
      <c r="AL1274" s="107"/>
      <c r="AM1274" s="108"/>
      <c r="AN1274" s="109"/>
      <c r="AO1274" s="108"/>
      <c r="AP1274" s="108"/>
      <c r="AQ1274" s="108"/>
      <c r="AR1274" s="108"/>
      <c r="AS1274" s="108"/>
      <c r="AT1274" s="108"/>
      <c r="AU1274" s="108"/>
      <c r="AV1274" s="108"/>
      <c r="AW1274" s="108"/>
      <c r="AX1274" s="108"/>
      <c r="AY1274" s="108"/>
      <c r="AZ1274" s="108"/>
      <c r="BA1274" s="108"/>
      <c r="BB1274" s="108"/>
      <c r="BC1274" s="108"/>
      <c r="BD1274" s="108"/>
      <c r="BE1274" s="108"/>
      <c r="BF1274" s="108"/>
      <c r="BG1274" s="108"/>
      <c r="BH1274" s="108"/>
      <c r="BI1274" s="108"/>
      <c r="BJ1274" s="108"/>
      <c r="BK1274" s="108"/>
      <c r="BL1274" s="108"/>
      <c r="BM1274" s="108"/>
      <c r="BN1274" s="108"/>
      <c r="BO1274" s="108"/>
      <c r="BP1274" s="108"/>
      <c r="BQ1274" s="108"/>
      <c r="BR1274" s="108"/>
      <c r="BS1274" s="108"/>
      <c r="BT1274" s="108"/>
      <c r="BU1274" s="108"/>
      <c r="BV1274" s="108"/>
      <c r="BW1274" s="108"/>
      <c r="BX1274" s="108"/>
      <c r="BY1274" s="108"/>
      <c r="BZ1274" s="108"/>
      <c r="CA1274" s="108"/>
      <c r="CB1274" s="108"/>
      <c r="CC1274" s="108"/>
      <c r="CD1274" s="108"/>
      <c r="CE1274" s="108"/>
      <c r="CF1274" s="108"/>
      <c r="CG1274" s="108"/>
      <c r="CH1274" s="108"/>
      <c r="CI1274" s="108"/>
      <c r="CJ1274" s="108"/>
      <c r="CK1274" s="108"/>
      <c r="CL1274" s="108"/>
      <c r="CM1274" s="108"/>
      <c r="CN1274" s="110"/>
      <c r="CO1274" s="111"/>
      <c r="CP1274" s="110"/>
      <c r="CQ1274" s="111"/>
      <c r="CR1274" s="110"/>
      <c r="CS1274" s="111"/>
      <c r="CT1274" s="112">
        <f t="shared" si="319"/>
        <v>0</v>
      </c>
      <c r="CU1274" s="113"/>
      <c r="CV1274" s="114"/>
      <c r="CW1274" s="115"/>
      <c r="CX1274" s="116"/>
      <c r="CY1274" s="117"/>
      <c r="CZ1274" s="116"/>
      <c r="DA1274" s="113"/>
      <c r="DB1274" s="114"/>
      <c r="DC1274" s="64"/>
      <c r="DD1274" s="118"/>
    </row>
    <row r="1275" spans="1:108" s="119" customFormat="1" ht="36" outlineLevel="2">
      <c r="A1275" s="178">
        <v>40520</v>
      </c>
      <c r="B1275" s="164" t="s">
        <v>956</v>
      </c>
      <c r="C1275" s="164" t="s">
        <v>1052</v>
      </c>
      <c r="D1275" s="166" t="s">
        <v>1182</v>
      </c>
      <c r="E1275" s="163"/>
      <c r="F1275" s="105"/>
      <c r="G1275" s="105"/>
      <c r="H1275" s="105">
        <v>12</v>
      </c>
      <c r="I1275" s="105">
        <v>3</v>
      </c>
      <c r="J1275" s="105"/>
      <c r="K1275" s="105">
        <v>3</v>
      </c>
      <c r="L1275" s="105"/>
      <c r="M1275" s="105"/>
      <c r="N1275" s="105"/>
      <c r="O1275" s="105"/>
      <c r="P1275" s="105"/>
      <c r="Q1275" s="105"/>
      <c r="R1275" s="105"/>
      <c r="S1275" s="105"/>
      <c r="T1275" s="106"/>
      <c r="U1275" s="130"/>
      <c r="V1275" s="1"/>
      <c r="W1275" s="68">
        <f t="shared" si="314"/>
        <v>0</v>
      </c>
      <c r="X1275" s="68">
        <f t="shared" si="315"/>
        <v>0</v>
      </c>
      <c r="Y1275" s="68">
        <f t="shared" si="316"/>
        <v>0</v>
      </c>
      <c r="Z1275" s="68">
        <f t="shared" si="317"/>
        <v>0</v>
      </c>
      <c r="AA1275" s="68"/>
      <c r="AB1275" s="68">
        <v>0</v>
      </c>
      <c r="AC1275" s="69">
        <f t="shared" si="318"/>
        <v>0</v>
      </c>
      <c r="AD1275" s="70">
        <v>0</v>
      </c>
      <c r="AE1275" s="63"/>
      <c r="AF1275" s="72"/>
      <c r="AG1275" s="63"/>
      <c r="AH1275" s="23"/>
      <c r="AI1275" s="60"/>
      <c r="AJ1275" s="124"/>
      <c r="AK1275" s="121" t="s">
        <v>328</v>
      </c>
      <c r="AL1275" s="107"/>
      <c r="AM1275" s="108"/>
      <c r="AN1275" s="109"/>
      <c r="AO1275" s="108"/>
      <c r="AP1275" s="108"/>
      <c r="AQ1275" s="108"/>
      <c r="AR1275" s="108"/>
      <c r="AS1275" s="108"/>
      <c r="AT1275" s="108"/>
      <c r="AU1275" s="108"/>
      <c r="AV1275" s="108"/>
      <c r="AW1275" s="108"/>
      <c r="AX1275" s="108"/>
      <c r="AY1275" s="108"/>
      <c r="AZ1275" s="108"/>
      <c r="BA1275" s="108"/>
      <c r="BB1275" s="108"/>
      <c r="BC1275" s="108"/>
      <c r="BD1275" s="108"/>
      <c r="BE1275" s="108"/>
      <c r="BF1275" s="108"/>
      <c r="BG1275" s="108"/>
      <c r="BH1275" s="108"/>
      <c r="BI1275" s="108"/>
      <c r="BJ1275" s="108"/>
      <c r="BK1275" s="108"/>
      <c r="BL1275" s="108"/>
      <c r="BM1275" s="108"/>
      <c r="BN1275" s="108"/>
      <c r="BO1275" s="108"/>
      <c r="BP1275" s="108"/>
      <c r="BQ1275" s="108"/>
      <c r="BR1275" s="108"/>
      <c r="BS1275" s="108"/>
      <c r="BT1275" s="108"/>
      <c r="BU1275" s="108"/>
      <c r="BV1275" s="108"/>
      <c r="BW1275" s="108"/>
      <c r="BX1275" s="108"/>
      <c r="BY1275" s="108"/>
      <c r="BZ1275" s="108"/>
      <c r="CA1275" s="108"/>
      <c r="CB1275" s="108"/>
      <c r="CC1275" s="108"/>
      <c r="CD1275" s="108"/>
      <c r="CE1275" s="108"/>
      <c r="CF1275" s="108"/>
      <c r="CG1275" s="108"/>
      <c r="CH1275" s="108"/>
      <c r="CI1275" s="108"/>
      <c r="CJ1275" s="108"/>
      <c r="CK1275" s="108"/>
      <c r="CL1275" s="108"/>
      <c r="CM1275" s="108"/>
      <c r="CN1275" s="110"/>
      <c r="CO1275" s="111"/>
      <c r="CP1275" s="110"/>
      <c r="CQ1275" s="111"/>
      <c r="CR1275" s="110"/>
      <c r="CS1275" s="111"/>
      <c r="CT1275" s="112">
        <f t="shared" si="319"/>
        <v>0</v>
      </c>
      <c r="CU1275" s="113"/>
      <c r="CV1275" s="114"/>
      <c r="CW1275" s="115"/>
      <c r="CX1275" s="116"/>
      <c r="CY1275" s="117"/>
      <c r="CZ1275" s="116"/>
      <c r="DA1275" s="113"/>
      <c r="DB1275" s="114"/>
      <c r="DC1275" s="64"/>
      <c r="DD1275" s="118"/>
    </row>
    <row r="1276" spans="1:108" s="119" customFormat="1" ht="36" outlineLevel="2">
      <c r="A1276" s="178">
        <v>40525</v>
      </c>
      <c r="B1276" s="164" t="s">
        <v>956</v>
      </c>
      <c r="C1276" s="164" t="s">
        <v>882</v>
      </c>
      <c r="D1276" s="166" t="s">
        <v>1182</v>
      </c>
      <c r="E1276" s="163"/>
      <c r="F1276" s="105"/>
      <c r="G1276" s="105"/>
      <c r="H1276" s="105">
        <f>125+35</f>
        <v>160</v>
      </c>
      <c r="I1276" s="105">
        <v>43</v>
      </c>
      <c r="J1276" s="105"/>
      <c r="K1276" s="105">
        <f>36+7</f>
        <v>43</v>
      </c>
      <c r="L1276" s="105"/>
      <c r="M1276" s="105"/>
      <c r="N1276" s="105"/>
      <c r="O1276" s="105"/>
      <c r="P1276" s="105"/>
      <c r="Q1276" s="105"/>
      <c r="R1276" s="105">
        <v>2</v>
      </c>
      <c r="S1276" s="105"/>
      <c r="T1276" s="106"/>
      <c r="U1276" s="130"/>
      <c r="V1276" s="1"/>
      <c r="W1276" s="68">
        <f t="shared" si="314"/>
        <v>0</v>
      </c>
      <c r="X1276" s="68">
        <f t="shared" si="315"/>
        <v>0</v>
      </c>
      <c r="Y1276" s="68">
        <f t="shared" si="316"/>
        <v>0</v>
      </c>
      <c r="Z1276" s="68">
        <f t="shared" si="317"/>
        <v>0</v>
      </c>
      <c r="AA1276" s="68"/>
      <c r="AB1276" s="68">
        <v>0</v>
      </c>
      <c r="AC1276" s="69">
        <f t="shared" si="318"/>
        <v>0</v>
      </c>
      <c r="AD1276" s="70">
        <v>0</v>
      </c>
      <c r="AE1276" s="63"/>
      <c r="AF1276" s="72"/>
      <c r="AG1276" s="63"/>
      <c r="AH1276" s="23"/>
      <c r="AI1276" s="60"/>
      <c r="AJ1276" s="124"/>
      <c r="AK1276" s="121" t="s">
        <v>2436</v>
      </c>
      <c r="AL1276" s="107"/>
      <c r="AM1276" s="108"/>
      <c r="AN1276" s="109"/>
      <c r="AO1276" s="108"/>
      <c r="AP1276" s="108"/>
      <c r="AQ1276" s="108"/>
      <c r="AR1276" s="108"/>
      <c r="AS1276" s="108"/>
      <c r="AT1276" s="108"/>
      <c r="AU1276" s="108"/>
      <c r="AV1276" s="108"/>
      <c r="AW1276" s="108"/>
      <c r="AX1276" s="108"/>
      <c r="AY1276" s="108"/>
      <c r="AZ1276" s="108"/>
      <c r="BA1276" s="108"/>
      <c r="BB1276" s="108"/>
      <c r="BC1276" s="108"/>
      <c r="BD1276" s="108"/>
      <c r="BE1276" s="108"/>
      <c r="BF1276" s="108"/>
      <c r="BG1276" s="108"/>
      <c r="BH1276" s="108"/>
      <c r="BI1276" s="108"/>
      <c r="BJ1276" s="108"/>
      <c r="BK1276" s="108"/>
      <c r="BL1276" s="108"/>
      <c r="BM1276" s="108"/>
      <c r="BN1276" s="108"/>
      <c r="BO1276" s="108"/>
      <c r="BP1276" s="108"/>
      <c r="BQ1276" s="108"/>
      <c r="BR1276" s="108"/>
      <c r="BS1276" s="108"/>
      <c r="BT1276" s="108"/>
      <c r="BU1276" s="108"/>
      <c r="BV1276" s="108"/>
      <c r="BW1276" s="108"/>
      <c r="BX1276" s="108"/>
      <c r="BY1276" s="108"/>
      <c r="BZ1276" s="108"/>
      <c r="CA1276" s="108"/>
      <c r="CB1276" s="108"/>
      <c r="CC1276" s="108"/>
      <c r="CD1276" s="108"/>
      <c r="CE1276" s="108"/>
      <c r="CF1276" s="108"/>
      <c r="CG1276" s="108"/>
      <c r="CH1276" s="108"/>
      <c r="CI1276" s="108"/>
      <c r="CJ1276" s="108"/>
      <c r="CK1276" s="108"/>
      <c r="CL1276" s="108"/>
      <c r="CM1276" s="108"/>
      <c r="CN1276" s="110"/>
      <c r="CO1276" s="111"/>
      <c r="CP1276" s="110"/>
      <c r="CQ1276" s="111"/>
      <c r="CR1276" s="110"/>
      <c r="CS1276" s="111"/>
      <c r="CT1276" s="112">
        <f t="shared" si="319"/>
        <v>0</v>
      </c>
      <c r="CU1276" s="113"/>
      <c r="CV1276" s="114"/>
      <c r="CW1276" s="115"/>
      <c r="CX1276" s="116"/>
      <c r="CY1276" s="117"/>
      <c r="CZ1276" s="116"/>
      <c r="DA1276" s="113"/>
      <c r="DB1276" s="114"/>
      <c r="DC1276" s="64"/>
      <c r="DD1276" s="118">
        <v>1457</v>
      </c>
    </row>
    <row r="1277" spans="1:108" s="119" customFormat="1" ht="24" customHeight="1" outlineLevel="1">
      <c r="A1277" s="178"/>
      <c r="B1277" s="192" t="s">
        <v>2461</v>
      </c>
      <c r="C1277" s="164"/>
      <c r="D1277" s="166"/>
      <c r="E1277" s="163">
        <f t="shared" ref="E1277:T1277" si="320">SUBTOTAL(9,E1203:E1276)</f>
        <v>11</v>
      </c>
      <c r="F1277" s="105">
        <f t="shared" si="320"/>
        <v>9</v>
      </c>
      <c r="G1277" s="105">
        <f t="shared" si="320"/>
        <v>2</v>
      </c>
      <c r="H1277" s="105">
        <f t="shared" si="320"/>
        <v>25766</v>
      </c>
      <c r="I1277" s="105">
        <f t="shared" si="320"/>
        <v>5269</v>
      </c>
      <c r="J1277" s="105">
        <f t="shared" si="320"/>
        <v>19</v>
      </c>
      <c r="K1277" s="105">
        <f t="shared" si="320"/>
        <v>3679</v>
      </c>
      <c r="L1277" s="105">
        <f t="shared" si="320"/>
        <v>53</v>
      </c>
      <c r="M1277" s="105">
        <f t="shared" si="320"/>
        <v>0</v>
      </c>
      <c r="N1277" s="105">
        <f t="shared" si="320"/>
        <v>0</v>
      </c>
      <c r="O1277" s="105">
        <f t="shared" si="320"/>
        <v>12</v>
      </c>
      <c r="P1277" s="105">
        <f t="shared" si="320"/>
        <v>0</v>
      </c>
      <c r="Q1277" s="105">
        <f t="shared" si="320"/>
        <v>0</v>
      </c>
      <c r="R1277" s="105">
        <f t="shared" si="320"/>
        <v>6</v>
      </c>
      <c r="S1277" s="105">
        <f t="shared" si="320"/>
        <v>0</v>
      </c>
      <c r="T1277" s="106">
        <f t="shared" si="320"/>
        <v>0</v>
      </c>
      <c r="U1277" s="130"/>
      <c r="V1277" s="1"/>
      <c r="W1277" s="68">
        <f t="shared" ref="W1277:AD1277" si="321">SUBTOTAL(9,W1203:W1276)</f>
        <v>89475000</v>
      </c>
      <c r="X1277" s="68">
        <f t="shared" si="321"/>
        <v>130050000</v>
      </c>
      <c r="Y1277" s="68">
        <f t="shared" si="321"/>
        <v>36180120</v>
      </c>
      <c r="Z1277" s="68">
        <f t="shared" si="321"/>
        <v>0</v>
      </c>
      <c r="AA1277" s="68">
        <f t="shared" si="321"/>
        <v>0</v>
      </c>
      <c r="AB1277" s="68">
        <f t="shared" si="321"/>
        <v>50000000</v>
      </c>
      <c r="AC1277" s="69">
        <f t="shared" si="321"/>
        <v>305705120</v>
      </c>
      <c r="AD1277" s="70">
        <f t="shared" si="321"/>
        <v>5000000</v>
      </c>
      <c r="AE1277" s="63"/>
      <c r="AF1277" s="72"/>
      <c r="AG1277" s="63"/>
      <c r="AH1277" s="23"/>
      <c r="AI1277" s="60"/>
      <c r="AJ1277" s="124"/>
      <c r="AK1277" s="121"/>
      <c r="AL1277" s="107"/>
      <c r="AM1277" s="108"/>
      <c r="AN1277" s="109"/>
      <c r="AO1277" s="108"/>
      <c r="AP1277" s="108"/>
      <c r="AQ1277" s="108"/>
      <c r="AR1277" s="108"/>
      <c r="AS1277" s="108"/>
      <c r="AT1277" s="108"/>
      <c r="AU1277" s="108"/>
      <c r="AV1277" s="108"/>
      <c r="AW1277" s="108"/>
      <c r="AX1277" s="108"/>
      <c r="AY1277" s="108"/>
      <c r="AZ1277" s="108"/>
      <c r="BA1277" s="108"/>
      <c r="BB1277" s="108"/>
      <c r="BC1277" s="108"/>
      <c r="BD1277" s="108"/>
      <c r="BE1277" s="108"/>
      <c r="BF1277" s="108"/>
      <c r="BG1277" s="108"/>
      <c r="BH1277" s="108"/>
      <c r="BI1277" s="108"/>
      <c r="BJ1277" s="108"/>
      <c r="BK1277" s="108"/>
      <c r="BL1277" s="108"/>
      <c r="BM1277" s="108"/>
      <c r="BN1277" s="108"/>
      <c r="BO1277" s="108"/>
      <c r="BP1277" s="108"/>
      <c r="BQ1277" s="108"/>
      <c r="BR1277" s="108"/>
      <c r="BS1277" s="108"/>
      <c r="BT1277" s="108"/>
      <c r="BU1277" s="108"/>
      <c r="BV1277" s="108"/>
      <c r="BW1277" s="108"/>
      <c r="BX1277" s="108"/>
      <c r="BY1277" s="108"/>
      <c r="BZ1277" s="108"/>
      <c r="CA1277" s="108"/>
      <c r="CB1277" s="108"/>
      <c r="CC1277" s="108"/>
      <c r="CD1277" s="108"/>
      <c r="CE1277" s="108"/>
      <c r="CF1277" s="108"/>
      <c r="CG1277" s="108"/>
      <c r="CH1277" s="108"/>
      <c r="CI1277" s="108"/>
      <c r="CJ1277" s="108"/>
      <c r="CK1277" s="108"/>
      <c r="CL1277" s="108"/>
      <c r="CM1277" s="108"/>
      <c r="CN1277" s="110"/>
      <c r="CO1277" s="111"/>
      <c r="CP1277" s="110"/>
      <c r="CQ1277" s="111"/>
      <c r="CR1277" s="110"/>
      <c r="CS1277" s="111"/>
      <c r="CT1277" s="112"/>
      <c r="CU1277" s="113"/>
      <c r="CV1277" s="114"/>
      <c r="CW1277" s="115"/>
      <c r="CX1277" s="116"/>
      <c r="CY1277" s="117"/>
      <c r="CZ1277" s="116"/>
      <c r="DA1277" s="113"/>
      <c r="DB1277" s="114"/>
      <c r="DC1277" s="64"/>
      <c r="DD1277" s="118"/>
    </row>
    <row r="1278" spans="1:108" s="119" customFormat="1" ht="33.75" outlineLevel="2">
      <c r="A1278" s="178">
        <v>40279</v>
      </c>
      <c r="B1278" s="82" t="s">
        <v>582</v>
      </c>
      <c r="C1278" s="82" t="s">
        <v>1130</v>
      </c>
      <c r="D1278" s="165" t="s">
        <v>1262</v>
      </c>
      <c r="E1278" s="167">
        <v>1</v>
      </c>
      <c r="F1278" s="66"/>
      <c r="G1278" s="66"/>
      <c r="H1278" s="66">
        <v>200</v>
      </c>
      <c r="I1278" s="66">
        <v>40</v>
      </c>
      <c r="J1278" s="66"/>
      <c r="K1278" s="66">
        <v>6</v>
      </c>
      <c r="L1278" s="66">
        <v>1</v>
      </c>
      <c r="M1278" s="66"/>
      <c r="N1278" s="66"/>
      <c r="O1278" s="66"/>
      <c r="P1278" s="66"/>
      <c r="Q1278" s="66"/>
      <c r="R1278" s="66"/>
      <c r="S1278" s="66"/>
      <c r="T1278" s="67"/>
      <c r="U1278" s="151"/>
      <c r="V1278" s="1">
        <v>40389</v>
      </c>
      <c r="W1278" s="68">
        <f t="shared" ref="W1278:W1309" si="322">CT1278</f>
        <v>0</v>
      </c>
      <c r="X1278" s="68">
        <f t="shared" ref="X1278:X1309" si="323">CX1278</f>
        <v>3400000</v>
      </c>
      <c r="Y1278" s="68">
        <f t="shared" ref="Y1278:Y1309" si="324">CZ1278+DB1278</f>
        <v>0</v>
      </c>
      <c r="Z1278" s="68">
        <f t="shared" ref="Z1278:Z1309" si="325">CV1278</f>
        <v>0</v>
      </c>
      <c r="AA1278" s="68"/>
      <c r="AB1278" s="68">
        <v>0</v>
      </c>
      <c r="AC1278" s="69">
        <f t="shared" ref="AC1278:AC1309" si="326">W1278+X1278+Y1278+Z1278+AA1278+AB1278</f>
        <v>3400000</v>
      </c>
      <c r="AD1278" s="70">
        <v>0</v>
      </c>
      <c r="AE1278" s="63">
        <v>40353</v>
      </c>
      <c r="AF1278" s="72">
        <v>30750</v>
      </c>
      <c r="AG1278" s="63" t="s">
        <v>954</v>
      </c>
      <c r="AH1278" s="23" t="s">
        <v>955</v>
      </c>
      <c r="AI1278" s="60">
        <v>220</v>
      </c>
      <c r="AJ1278" s="133" t="s">
        <v>1901</v>
      </c>
      <c r="AK1278" s="73" t="s">
        <v>1131</v>
      </c>
      <c r="AL1278" s="3"/>
      <c r="AM1278" s="4"/>
      <c r="AN1278" s="5"/>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6"/>
      <c r="CO1278" s="7"/>
      <c r="CP1278" s="6"/>
      <c r="CQ1278" s="7"/>
      <c r="CR1278" s="6"/>
      <c r="CS1278" s="7"/>
      <c r="CT1278" s="8">
        <f t="shared" ref="CT1278:CT1309" si="327">AM1278+AO1278+AQ1278+AS1278+AU1278+AW1278+AY1278+BA1278+BC1278+BE1278+BG1278+BI1278+BK1278+BM1278+BO1278+BQ1278+BS1278+BU1278+BW1278+BY1278+CA1278+CC1278+CE1278+CG1278+CI1278+CK1278+CM1278+CO1278+CQ1278+CS1278</f>
        <v>0</v>
      </c>
      <c r="CU1278" s="9"/>
      <c r="CV1278" s="10"/>
      <c r="CW1278" s="11">
        <v>40</v>
      </c>
      <c r="CX1278" s="12">
        <f>40*85000</f>
        <v>3400000</v>
      </c>
      <c r="CY1278" s="26"/>
      <c r="CZ1278" s="12"/>
      <c r="DA1278" s="9"/>
      <c r="DB1278" s="10"/>
      <c r="DC1278" s="64"/>
      <c r="DD1278" s="22"/>
    </row>
    <row r="1279" spans="1:108" s="119" customFormat="1" ht="48" outlineLevel="2">
      <c r="A1279" s="178">
        <v>40288</v>
      </c>
      <c r="B1279" s="82" t="s">
        <v>582</v>
      </c>
      <c r="C1279" s="82" t="s">
        <v>1646</v>
      </c>
      <c r="D1279" s="165" t="s">
        <v>1262</v>
      </c>
      <c r="E1279" s="167"/>
      <c r="F1279" s="66"/>
      <c r="G1279" s="66"/>
      <c r="H1279" s="66">
        <v>300</v>
      </c>
      <c r="I1279" s="66">
        <v>60</v>
      </c>
      <c r="J1279" s="66"/>
      <c r="K1279" s="66">
        <v>10</v>
      </c>
      <c r="L1279" s="66"/>
      <c r="M1279" s="66"/>
      <c r="N1279" s="66"/>
      <c r="O1279" s="66"/>
      <c r="P1279" s="66"/>
      <c r="Q1279" s="66"/>
      <c r="R1279" s="66">
        <v>1</v>
      </c>
      <c r="S1279" s="66"/>
      <c r="T1279" s="67">
        <v>130</v>
      </c>
      <c r="U1279" s="151"/>
      <c r="V1279" s="1"/>
      <c r="W1279" s="68">
        <f t="shared" si="322"/>
        <v>0</v>
      </c>
      <c r="X1279" s="68">
        <f t="shared" si="323"/>
        <v>0</v>
      </c>
      <c r="Y1279" s="68">
        <f t="shared" si="324"/>
        <v>0</v>
      </c>
      <c r="Z1279" s="68">
        <f t="shared" si="325"/>
        <v>0</v>
      </c>
      <c r="AA1279" s="68"/>
      <c r="AB1279" s="68">
        <v>0</v>
      </c>
      <c r="AC1279" s="69">
        <f t="shared" si="326"/>
        <v>0</v>
      </c>
      <c r="AD1279" s="70">
        <v>0</v>
      </c>
      <c r="AE1279" s="63">
        <v>40292</v>
      </c>
      <c r="AF1279" s="72"/>
      <c r="AG1279" s="63" t="s">
        <v>938</v>
      </c>
      <c r="AH1279" s="23" t="s">
        <v>939</v>
      </c>
      <c r="AI1279" s="60"/>
      <c r="AJ1279" s="133" t="s">
        <v>1608</v>
      </c>
      <c r="AK1279" s="73" t="s">
        <v>877</v>
      </c>
      <c r="AL1279" s="3"/>
      <c r="AM1279" s="4"/>
      <c r="AN1279" s="5"/>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6"/>
      <c r="CO1279" s="7"/>
      <c r="CP1279" s="6"/>
      <c r="CQ1279" s="7"/>
      <c r="CR1279" s="6"/>
      <c r="CS1279" s="7"/>
      <c r="CT1279" s="8">
        <f t="shared" si="327"/>
        <v>0</v>
      </c>
      <c r="CU1279" s="9"/>
      <c r="CV1279" s="10"/>
      <c r="CW1279" s="11"/>
      <c r="CX1279" s="12"/>
      <c r="CY1279" s="26"/>
      <c r="CZ1279" s="12"/>
      <c r="DA1279" s="9"/>
      <c r="DB1279" s="10"/>
      <c r="DC1279" s="64"/>
      <c r="DD1279" s="22"/>
    </row>
    <row r="1280" spans="1:108" s="119" customFormat="1" ht="45" outlineLevel="2">
      <c r="A1280" s="178">
        <v>40289</v>
      </c>
      <c r="B1280" s="82" t="s">
        <v>582</v>
      </c>
      <c r="C1280" s="82" t="s">
        <v>926</v>
      </c>
      <c r="D1280" s="165" t="s">
        <v>435</v>
      </c>
      <c r="E1280" s="167"/>
      <c r="F1280" s="66"/>
      <c r="G1280" s="66"/>
      <c r="H1280" s="66">
        <f>60*5</f>
        <v>300</v>
      </c>
      <c r="I1280" s="66">
        <v>60</v>
      </c>
      <c r="J1280" s="66"/>
      <c r="K1280" s="66">
        <v>4</v>
      </c>
      <c r="L1280" s="66"/>
      <c r="M1280" s="66"/>
      <c r="N1280" s="66"/>
      <c r="O1280" s="66"/>
      <c r="P1280" s="66"/>
      <c r="Q1280" s="66"/>
      <c r="R1280" s="66">
        <v>1</v>
      </c>
      <c r="S1280" s="66"/>
      <c r="T1280" s="67"/>
      <c r="U1280" s="151"/>
      <c r="V1280" s="1"/>
      <c r="W1280" s="68">
        <f t="shared" si="322"/>
        <v>0</v>
      </c>
      <c r="X1280" s="68">
        <f t="shared" si="323"/>
        <v>0</v>
      </c>
      <c r="Y1280" s="68">
        <f t="shared" si="324"/>
        <v>0</v>
      </c>
      <c r="Z1280" s="68">
        <f t="shared" si="325"/>
        <v>0</v>
      </c>
      <c r="AA1280" s="68"/>
      <c r="AB1280" s="68">
        <v>0</v>
      </c>
      <c r="AC1280" s="69">
        <f t="shared" si="326"/>
        <v>0</v>
      </c>
      <c r="AD1280" s="70">
        <v>0</v>
      </c>
      <c r="AE1280" s="63">
        <v>40312</v>
      </c>
      <c r="AF1280" s="72">
        <v>97529</v>
      </c>
      <c r="AG1280" s="63" t="s">
        <v>954</v>
      </c>
      <c r="AH1280" s="23" t="s">
        <v>955</v>
      </c>
      <c r="AI1280" s="60"/>
      <c r="AJ1280" s="133" t="s">
        <v>415</v>
      </c>
      <c r="AK1280" s="81" t="s">
        <v>788</v>
      </c>
      <c r="AL1280" s="3"/>
      <c r="AM1280" s="4"/>
      <c r="AN1280" s="5"/>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6"/>
      <c r="CO1280" s="7"/>
      <c r="CP1280" s="6"/>
      <c r="CQ1280" s="7"/>
      <c r="CR1280" s="6"/>
      <c r="CS1280" s="7"/>
      <c r="CT1280" s="8">
        <f t="shared" si="327"/>
        <v>0</v>
      </c>
      <c r="CU1280" s="9"/>
      <c r="CV1280" s="10"/>
      <c r="CW1280" s="11"/>
      <c r="CX1280" s="12"/>
      <c r="CY1280" s="26"/>
      <c r="CZ1280" s="12"/>
      <c r="DA1280" s="9"/>
      <c r="DB1280" s="10"/>
      <c r="DC1280" s="64"/>
      <c r="DD1280" s="22"/>
    </row>
    <row r="1281" spans="1:108" s="119" customFormat="1" ht="45" outlineLevel="2">
      <c r="A1281" s="178">
        <v>40289</v>
      </c>
      <c r="B1281" s="82" t="s">
        <v>582</v>
      </c>
      <c r="C1281" s="82" t="s">
        <v>878</v>
      </c>
      <c r="D1281" s="165" t="s">
        <v>435</v>
      </c>
      <c r="E1281" s="167"/>
      <c r="F1281" s="66"/>
      <c r="G1281" s="66"/>
      <c r="H1281" s="66">
        <v>50</v>
      </c>
      <c r="I1281" s="66">
        <v>10</v>
      </c>
      <c r="J1281" s="66"/>
      <c r="K1281" s="66"/>
      <c r="L1281" s="66"/>
      <c r="M1281" s="66"/>
      <c r="N1281" s="66">
        <v>2</v>
      </c>
      <c r="O1281" s="66">
        <v>3</v>
      </c>
      <c r="P1281" s="66"/>
      <c r="Q1281" s="66"/>
      <c r="R1281" s="66"/>
      <c r="S1281" s="66"/>
      <c r="T1281" s="67"/>
      <c r="U1281" s="151"/>
      <c r="V1281" s="1"/>
      <c r="W1281" s="68">
        <f t="shared" si="322"/>
        <v>0</v>
      </c>
      <c r="X1281" s="68">
        <f t="shared" si="323"/>
        <v>0</v>
      </c>
      <c r="Y1281" s="68">
        <f t="shared" si="324"/>
        <v>0</v>
      </c>
      <c r="Z1281" s="68">
        <f t="shared" si="325"/>
        <v>0</v>
      </c>
      <c r="AA1281" s="68"/>
      <c r="AB1281" s="68">
        <v>0</v>
      </c>
      <c r="AC1281" s="69">
        <f t="shared" si="326"/>
        <v>0</v>
      </c>
      <c r="AD1281" s="70">
        <v>0</v>
      </c>
      <c r="AE1281" s="63">
        <v>40312</v>
      </c>
      <c r="AF1281" s="72">
        <v>97529</v>
      </c>
      <c r="AG1281" s="63" t="s">
        <v>954</v>
      </c>
      <c r="AH1281" s="23" t="s">
        <v>955</v>
      </c>
      <c r="AI1281" s="60"/>
      <c r="AJ1281" s="133" t="s">
        <v>415</v>
      </c>
      <c r="AK1281" s="81" t="s">
        <v>788</v>
      </c>
      <c r="AL1281" s="3"/>
      <c r="AM1281" s="4"/>
      <c r="AN1281" s="5"/>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6"/>
      <c r="CO1281" s="7"/>
      <c r="CP1281" s="6"/>
      <c r="CQ1281" s="7"/>
      <c r="CR1281" s="6"/>
      <c r="CS1281" s="7"/>
      <c r="CT1281" s="8">
        <f t="shared" si="327"/>
        <v>0</v>
      </c>
      <c r="CU1281" s="9"/>
      <c r="CV1281" s="10"/>
      <c r="CW1281" s="11"/>
      <c r="CX1281" s="12"/>
      <c r="CY1281" s="26"/>
      <c r="CZ1281" s="12"/>
      <c r="DA1281" s="9"/>
      <c r="DB1281" s="10"/>
      <c r="DC1281" s="64"/>
      <c r="DD1281" s="22"/>
    </row>
    <row r="1282" spans="1:108" s="119" customFormat="1" ht="45" outlineLevel="2">
      <c r="A1282" s="178">
        <v>40289</v>
      </c>
      <c r="B1282" s="82" t="s">
        <v>582</v>
      </c>
      <c r="C1282" s="82" t="s">
        <v>787</v>
      </c>
      <c r="D1282" s="165" t="s">
        <v>435</v>
      </c>
      <c r="E1282" s="167"/>
      <c r="F1282" s="66"/>
      <c r="G1282" s="66"/>
      <c r="H1282" s="66"/>
      <c r="I1282" s="66"/>
      <c r="J1282" s="66"/>
      <c r="K1282" s="66"/>
      <c r="L1282" s="66"/>
      <c r="M1282" s="66"/>
      <c r="N1282" s="66"/>
      <c r="O1282" s="66"/>
      <c r="P1282" s="66"/>
      <c r="Q1282" s="66"/>
      <c r="R1282" s="66"/>
      <c r="S1282" s="66"/>
      <c r="T1282" s="67"/>
      <c r="U1282" s="151"/>
      <c r="V1282" s="1">
        <v>40354</v>
      </c>
      <c r="W1282" s="68">
        <f t="shared" si="322"/>
        <v>51066400</v>
      </c>
      <c r="X1282" s="68">
        <f t="shared" si="323"/>
        <v>59500000</v>
      </c>
      <c r="Y1282" s="68">
        <f t="shared" si="324"/>
        <v>19836000</v>
      </c>
      <c r="Z1282" s="68">
        <f t="shared" si="325"/>
        <v>0</v>
      </c>
      <c r="AA1282" s="68"/>
      <c r="AB1282" s="68">
        <v>0</v>
      </c>
      <c r="AC1282" s="69">
        <f t="shared" si="326"/>
        <v>130402400</v>
      </c>
      <c r="AD1282" s="70">
        <v>0</v>
      </c>
      <c r="AE1282" s="63">
        <v>40312</v>
      </c>
      <c r="AF1282" s="72">
        <v>97529</v>
      </c>
      <c r="AG1282" s="63" t="s">
        <v>954</v>
      </c>
      <c r="AH1282" s="23" t="s">
        <v>955</v>
      </c>
      <c r="AI1282" s="75" t="s">
        <v>980</v>
      </c>
      <c r="AJ1282" s="133" t="s">
        <v>415</v>
      </c>
      <c r="AK1282" s="73" t="s">
        <v>1385</v>
      </c>
      <c r="AL1282" s="3"/>
      <c r="AM1282" s="4"/>
      <c r="AN1282" s="5"/>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6">
        <v>700</v>
      </c>
      <c r="CO1282" s="7">
        <f>700*36952</f>
        <v>25866400</v>
      </c>
      <c r="CP1282" s="6">
        <v>700</v>
      </c>
      <c r="CQ1282" s="7">
        <f>700*36000</f>
        <v>25200000</v>
      </c>
      <c r="CR1282" s="6"/>
      <c r="CS1282" s="7"/>
      <c r="CT1282" s="8">
        <f t="shared" si="327"/>
        <v>51066400</v>
      </c>
      <c r="CU1282" s="9"/>
      <c r="CV1282" s="10"/>
      <c r="CW1282" s="11">
        <v>700</v>
      </c>
      <c r="CX1282" s="12">
        <f>700*85000</f>
        <v>59500000</v>
      </c>
      <c r="CY1282" s="26"/>
      <c r="CZ1282" s="12"/>
      <c r="DA1282" s="9">
        <v>1000</v>
      </c>
      <c r="DB1282" s="10">
        <f>1000*18792+2000*522</f>
        <v>19836000</v>
      </c>
      <c r="DC1282" s="64"/>
      <c r="DD1282" s="22"/>
    </row>
    <row r="1283" spans="1:108" s="119" customFormat="1" ht="45" outlineLevel="2">
      <c r="A1283" s="178">
        <v>40289</v>
      </c>
      <c r="B1283" s="82" t="s">
        <v>582</v>
      </c>
      <c r="C1283" s="82" t="s">
        <v>927</v>
      </c>
      <c r="D1283" s="165" t="s">
        <v>435</v>
      </c>
      <c r="E1283" s="167"/>
      <c r="F1283" s="66"/>
      <c r="G1283" s="66"/>
      <c r="H1283" s="66">
        <v>60</v>
      </c>
      <c r="I1283" s="66">
        <v>12</v>
      </c>
      <c r="J1283" s="66"/>
      <c r="K1283" s="66">
        <v>12</v>
      </c>
      <c r="L1283" s="66"/>
      <c r="M1283" s="66"/>
      <c r="N1283" s="66"/>
      <c r="O1283" s="66"/>
      <c r="P1283" s="66"/>
      <c r="Q1283" s="66"/>
      <c r="R1283" s="66"/>
      <c r="S1283" s="66"/>
      <c r="T1283" s="67"/>
      <c r="U1283" s="151"/>
      <c r="V1283" s="1"/>
      <c r="W1283" s="68">
        <f t="shared" si="322"/>
        <v>0</v>
      </c>
      <c r="X1283" s="68">
        <f t="shared" si="323"/>
        <v>0</v>
      </c>
      <c r="Y1283" s="68">
        <f t="shared" si="324"/>
        <v>0</v>
      </c>
      <c r="Z1283" s="68">
        <f t="shared" si="325"/>
        <v>0</v>
      </c>
      <c r="AA1283" s="68"/>
      <c r="AB1283" s="68">
        <v>0</v>
      </c>
      <c r="AC1283" s="69">
        <f t="shared" si="326"/>
        <v>0</v>
      </c>
      <c r="AD1283" s="70">
        <v>0</v>
      </c>
      <c r="AE1283" s="63">
        <v>40312</v>
      </c>
      <c r="AF1283" s="72">
        <v>97529</v>
      </c>
      <c r="AG1283" s="63" t="s">
        <v>954</v>
      </c>
      <c r="AH1283" s="23" t="s">
        <v>955</v>
      </c>
      <c r="AI1283" s="60"/>
      <c r="AJ1283" s="133" t="s">
        <v>415</v>
      </c>
      <c r="AK1283" s="81" t="s">
        <v>788</v>
      </c>
      <c r="AL1283" s="3"/>
      <c r="AM1283" s="4"/>
      <c r="AN1283" s="5"/>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6"/>
      <c r="CO1283" s="7"/>
      <c r="CP1283" s="6"/>
      <c r="CQ1283" s="7"/>
      <c r="CR1283" s="6"/>
      <c r="CS1283" s="7"/>
      <c r="CT1283" s="8">
        <f t="shared" si="327"/>
        <v>0</v>
      </c>
      <c r="CU1283" s="9"/>
      <c r="CV1283" s="10"/>
      <c r="CW1283" s="11"/>
      <c r="CX1283" s="12"/>
      <c r="CY1283" s="26"/>
      <c r="CZ1283" s="12"/>
      <c r="DA1283" s="9"/>
      <c r="DB1283" s="10"/>
      <c r="DC1283" s="64"/>
      <c r="DD1283" s="22"/>
    </row>
    <row r="1284" spans="1:108" s="119" customFormat="1" ht="60" outlineLevel="2">
      <c r="A1284" s="178">
        <v>40290</v>
      </c>
      <c r="B1284" s="82" t="s">
        <v>582</v>
      </c>
      <c r="C1284" s="82" t="s">
        <v>878</v>
      </c>
      <c r="D1284" s="165" t="s">
        <v>1182</v>
      </c>
      <c r="E1284" s="167"/>
      <c r="F1284" s="66"/>
      <c r="G1284" s="66"/>
      <c r="H1284" s="66"/>
      <c r="I1284" s="66"/>
      <c r="J1284" s="66"/>
      <c r="K1284" s="66"/>
      <c r="L1284" s="66">
        <v>1</v>
      </c>
      <c r="M1284" s="66"/>
      <c r="N1284" s="66"/>
      <c r="O1284" s="66"/>
      <c r="P1284" s="66"/>
      <c r="Q1284" s="66"/>
      <c r="R1284" s="66"/>
      <c r="S1284" s="66"/>
      <c r="T1284" s="67"/>
      <c r="U1284" s="151"/>
      <c r="V1284" s="1">
        <v>40339</v>
      </c>
      <c r="W1284" s="68">
        <f t="shared" si="322"/>
        <v>0</v>
      </c>
      <c r="X1284" s="68">
        <f t="shared" si="323"/>
        <v>0</v>
      </c>
      <c r="Y1284" s="68">
        <f t="shared" si="324"/>
        <v>0</v>
      </c>
      <c r="Z1284" s="68">
        <f t="shared" si="325"/>
        <v>0</v>
      </c>
      <c r="AA1284" s="68"/>
      <c r="AB1284" s="68">
        <f>15000000+7500000+6400000</f>
        <v>28900000</v>
      </c>
      <c r="AC1284" s="69">
        <f t="shared" si="326"/>
        <v>28900000</v>
      </c>
      <c r="AD1284" s="70">
        <v>0</v>
      </c>
      <c r="AE1284" s="63">
        <v>40332</v>
      </c>
      <c r="AF1284" s="72">
        <v>98013</v>
      </c>
      <c r="AG1284" s="63" t="s">
        <v>954</v>
      </c>
      <c r="AH1284" s="23" t="s">
        <v>955</v>
      </c>
      <c r="AI1284" s="60">
        <v>305</v>
      </c>
      <c r="AJ1284" s="133" t="s">
        <v>2224</v>
      </c>
      <c r="AK1284" s="73" t="s">
        <v>2225</v>
      </c>
      <c r="AL1284" s="3"/>
      <c r="AM1284" s="4"/>
      <c r="AN1284" s="5"/>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6"/>
      <c r="CO1284" s="7"/>
      <c r="CP1284" s="6"/>
      <c r="CQ1284" s="7"/>
      <c r="CR1284" s="6"/>
      <c r="CS1284" s="7"/>
      <c r="CT1284" s="8">
        <f t="shared" si="327"/>
        <v>0</v>
      </c>
      <c r="CU1284" s="9"/>
      <c r="CV1284" s="10"/>
      <c r="CW1284" s="11"/>
      <c r="CX1284" s="12"/>
      <c r="CY1284" s="26"/>
      <c r="CZ1284" s="12"/>
      <c r="DA1284" s="9"/>
      <c r="DB1284" s="10"/>
      <c r="DC1284" s="64">
        <v>4</v>
      </c>
      <c r="DD1284" s="22"/>
    </row>
    <row r="1285" spans="1:108" s="119" customFormat="1" ht="24" outlineLevel="2">
      <c r="A1285" s="178">
        <v>40298</v>
      </c>
      <c r="B1285" s="82" t="s">
        <v>582</v>
      </c>
      <c r="C1285" s="82" t="s">
        <v>614</v>
      </c>
      <c r="D1285" s="165" t="s">
        <v>1262</v>
      </c>
      <c r="E1285" s="167"/>
      <c r="F1285" s="66"/>
      <c r="G1285" s="66"/>
      <c r="H1285" s="66">
        <v>140</v>
      </c>
      <c r="I1285" s="66">
        <v>29</v>
      </c>
      <c r="J1285" s="66"/>
      <c r="K1285" s="66">
        <v>28</v>
      </c>
      <c r="L1285" s="66"/>
      <c r="M1285" s="66"/>
      <c r="N1285" s="66"/>
      <c r="O1285" s="66"/>
      <c r="P1285" s="66"/>
      <c r="Q1285" s="66"/>
      <c r="R1285" s="66"/>
      <c r="S1285" s="66"/>
      <c r="T1285" s="67"/>
      <c r="U1285" s="151"/>
      <c r="V1285" s="1"/>
      <c r="W1285" s="68">
        <f t="shared" si="322"/>
        <v>0</v>
      </c>
      <c r="X1285" s="68">
        <f t="shared" si="323"/>
        <v>0</v>
      </c>
      <c r="Y1285" s="68">
        <f t="shared" si="324"/>
        <v>0</v>
      </c>
      <c r="Z1285" s="68">
        <f t="shared" si="325"/>
        <v>0</v>
      </c>
      <c r="AA1285" s="68"/>
      <c r="AB1285" s="68">
        <v>0</v>
      </c>
      <c r="AC1285" s="69">
        <f t="shared" si="326"/>
        <v>0</v>
      </c>
      <c r="AD1285" s="70">
        <v>0</v>
      </c>
      <c r="AE1285" s="63">
        <v>40301</v>
      </c>
      <c r="AF1285" s="72"/>
      <c r="AG1285" s="63" t="s">
        <v>954</v>
      </c>
      <c r="AH1285" s="23" t="s">
        <v>955</v>
      </c>
      <c r="AI1285" s="60"/>
      <c r="AJ1285" s="157" t="s">
        <v>1543</v>
      </c>
      <c r="AK1285" s="73" t="s">
        <v>615</v>
      </c>
      <c r="AL1285" s="3"/>
      <c r="AM1285" s="4"/>
      <c r="AN1285" s="5"/>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6"/>
      <c r="CO1285" s="7"/>
      <c r="CP1285" s="6"/>
      <c r="CQ1285" s="7"/>
      <c r="CR1285" s="6"/>
      <c r="CS1285" s="7"/>
      <c r="CT1285" s="8">
        <f t="shared" si="327"/>
        <v>0</v>
      </c>
      <c r="CU1285" s="9"/>
      <c r="CV1285" s="10"/>
      <c r="CW1285" s="11"/>
      <c r="CX1285" s="12"/>
      <c r="CY1285" s="26"/>
      <c r="CZ1285" s="12"/>
      <c r="DA1285" s="9"/>
      <c r="DB1285" s="10"/>
      <c r="DC1285" s="64"/>
      <c r="DD1285" s="22"/>
    </row>
    <row r="1286" spans="1:108" s="119" customFormat="1" ht="36" outlineLevel="2">
      <c r="A1286" s="178">
        <v>40302</v>
      </c>
      <c r="B1286" s="82" t="s">
        <v>582</v>
      </c>
      <c r="C1286" s="82" t="s">
        <v>1712</v>
      </c>
      <c r="D1286" s="165" t="s">
        <v>1182</v>
      </c>
      <c r="E1286" s="167">
        <v>1</v>
      </c>
      <c r="F1286" s="66"/>
      <c r="G1286" s="66"/>
      <c r="H1286" s="66"/>
      <c r="I1286" s="66"/>
      <c r="J1286" s="66"/>
      <c r="K1286" s="66"/>
      <c r="L1286" s="66"/>
      <c r="M1286" s="66"/>
      <c r="N1286" s="66"/>
      <c r="O1286" s="66"/>
      <c r="P1286" s="66"/>
      <c r="Q1286" s="66"/>
      <c r="R1286" s="66"/>
      <c r="S1286" s="66"/>
      <c r="T1286" s="67"/>
      <c r="U1286" s="151"/>
      <c r="V1286" s="1"/>
      <c r="W1286" s="68">
        <f t="shared" si="322"/>
        <v>0</v>
      </c>
      <c r="X1286" s="68">
        <f t="shared" si="323"/>
        <v>0</v>
      </c>
      <c r="Y1286" s="68">
        <f t="shared" si="324"/>
        <v>0</v>
      </c>
      <c r="Z1286" s="68">
        <f t="shared" si="325"/>
        <v>0</v>
      </c>
      <c r="AA1286" s="68"/>
      <c r="AB1286" s="68">
        <v>0</v>
      </c>
      <c r="AC1286" s="69">
        <f t="shared" si="326"/>
        <v>0</v>
      </c>
      <c r="AD1286" s="70">
        <v>0</v>
      </c>
      <c r="AE1286" s="63">
        <v>40302</v>
      </c>
      <c r="AF1286" s="72"/>
      <c r="AG1286" s="63" t="s">
        <v>938</v>
      </c>
      <c r="AH1286" s="23" t="s">
        <v>939</v>
      </c>
      <c r="AI1286" s="60"/>
      <c r="AJ1286" s="133" t="s">
        <v>1608</v>
      </c>
      <c r="AK1286" s="73" t="s">
        <v>1850</v>
      </c>
      <c r="AL1286" s="3"/>
      <c r="AM1286" s="4"/>
      <c r="AN1286" s="5"/>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6"/>
      <c r="CO1286" s="7"/>
      <c r="CP1286" s="6"/>
      <c r="CQ1286" s="7"/>
      <c r="CR1286" s="6"/>
      <c r="CS1286" s="7"/>
      <c r="CT1286" s="8">
        <f t="shared" si="327"/>
        <v>0</v>
      </c>
      <c r="CU1286" s="9"/>
      <c r="CV1286" s="10"/>
      <c r="CW1286" s="11"/>
      <c r="CX1286" s="12"/>
      <c r="CY1286" s="26"/>
      <c r="CZ1286" s="12"/>
      <c r="DA1286" s="9"/>
      <c r="DB1286" s="10"/>
      <c r="DC1286" s="64"/>
      <c r="DD1286" s="22"/>
    </row>
    <row r="1287" spans="1:108" s="119" customFormat="1" ht="33.75" outlineLevel="2">
      <c r="A1287" s="178">
        <v>40303</v>
      </c>
      <c r="B1287" s="82" t="s">
        <v>582</v>
      </c>
      <c r="C1287" s="82" t="s">
        <v>960</v>
      </c>
      <c r="D1287" s="165" t="s">
        <v>1262</v>
      </c>
      <c r="E1287" s="167"/>
      <c r="F1287" s="66"/>
      <c r="G1287" s="66"/>
      <c r="H1287" s="66">
        <v>200</v>
      </c>
      <c r="I1287" s="66">
        <v>50</v>
      </c>
      <c r="J1287" s="66"/>
      <c r="K1287" s="66">
        <v>15</v>
      </c>
      <c r="L1287" s="66"/>
      <c r="M1287" s="66"/>
      <c r="N1287" s="66"/>
      <c r="O1287" s="66"/>
      <c r="P1287" s="66"/>
      <c r="Q1287" s="66"/>
      <c r="R1287" s="66"/>
      <c r="S1287" s="66"/>
      <c r="T1287" s="67"/>
      <c r="U1287" s="151"/>
      <c r="V1287" s="1">
        <v>40389</v>
      </c>
      <c r="W1287" s="68">
        <f t="shared" si="322"/>
        <v>0</v>
      </c>
      <c r="X1287" s="68">
        <f t="shared" si="323"/>
        <v>4250000</v>
      </c>
      <c r="Y1287" s="68">
        <f t="shared" si="324"/>
        <v>0</v>
      </c>
      <c r="Z1287" s="68">
        <f t="shared" si="325"/>
        <v>0</v>
      </c>
      <c r="AA1287" s="68"/>
      <c r="AB1287" s="68">
        <v>0</v>
      </c>
      <c r="AC1287" s="69">
        <f t="shared" si="326"/>
        <v>4250000</v>
      </c>
      <c r="AD1287" s="70">
        <v>0</v>
      </c>
      <c r="AE1287" s="63">
        <v>40353</v>
      </c>
      <c r="AF1287" s="72">
        <v>30750</v>
      </c>
      <c r="AG1287" s="63" t="s">
        <v>954</v>
      </c>
      <c r="AH1287" s="23" t="s">
        <v>955</v>
      </c>
      <c r="AI1287" s="60">
        <v>220</v>
      </c>
      <c r="AJ1287" s="133" t="s">
        <v>1901</v>
      </c>
      <c r="AK1287" s="73" t="s">
        <v>1960</v>
      </c>
      <c r="AL1287" s="3"/>
      <c r="AM1287" s="4"/>
      <c r="AN1287" s="5"/>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6"/>
      <c r="CO1287" s="7"/>
      <c r="CP1287" s="6"/>
      <c r="CQ1287" s="7"/>
      <c r="CR1287" s="6"/>
      <c r="CS1287" s="7"/>
      <c r="CT1287" s="8">
        <f t="shared" si="327"/>
        <v>0</v>
      </c>
      <c r="CU1287" s="9"/>
      <c r="CV1287" s="10"/>
      <c r="CW1287" s="11">
        <v>50</v>
      </c>
      <c r="CX1287" s="12">
        <f>50*85000</f>
        <v>4250000</v>
      </c>
      <c r="CY1287" s="26"/>
      <c r="CZ1287" s="12"/>
      <c r="DA1287" s="9"/>
      <c r="DB1287" s="10"/>
      <c r="DC1287" s="64"/>
      <c r="DD1287" s="22"/>
    </row>
    <row r="1288" spans="1:108" s="119" customFormat="1" ht="33.75" outlineLevel="2">
      <c r="A1288" s="178">
        <v>40303</v>
      </c>
      <c r="B1288" s="82" t="s">
        <v>582</v>
      </c>
      <c r="C1288" s="82" t="s">
        <v>1619</v>
      </c>
      <c r="D1288" s="165" t="s">
        <v>1262</v>
      </c>
      <c r="E1288" s="167"/>
      <c r="F1288" s="66"/>
      <c r="G1288" s="66"/>
      <c r="H1288" s="66">
        <v>150</v>
      </c>
      <c r="I1288" s="66">
        <v>30</v>
      </c>
      <c r="J1288" s="66"/>
      <c r="K1288" s="66">
        <v>9</v>
      </c>
      <c r="L1288" s="66"/>
      <c r="M1288" s="66"/>
      <c r="N1288" s="66"/>
      <c r="O1288" s="66"/>
      <c r="P1288" s="66"/>
      <c r="Q1288" s="66"/>
      <c r="R1288" s="66"/>
      <c r="S1288" s="66"/>
      <c r="T1288" s="67"/>
      <c r="U1288" s="151"/>
      <c r="V1288" s="1">
        <v>40389</v>
      </c>
      <c r="W1288" s="68">
        <f t="shared" si="322"/>
        <v>0</v>
      </c>
      <c r="X1288" s="68">
        <f t="shared" si="323"/>
        <v>2550000</v>
      </c>
      <c r="Y1288" s="68">
        <f t="shared" si="324"/>
        <v>0</v>
      </c>
      <c r="Z1288" s="68">
        <f t="shared" si="325"/>
        <v>0</v>
      </c>
      <c r="AA1288" s="68"/>
      <c r="AB1288" s="68">
        <v>0</v>
      </c>
      <c r="AC1288" s="69">
        <f t="shared" si="326"/>
        <v>2550000</v>
      </c>
      <c r="AD1288" s="70">
        <v>0</v>
      </c>
      <c r="AE1288" s="63">
        <v>40353</v>
      </c>
      <c r="AF1288" s="72">
        <v>30750</v>
      </c>
      <c r="AG1288" s="63" t="s">
        <v>954</v>
      </c>
      <c r="AH1288" s="23" t="s">
        <v>955</v>
      </c>
      <c r="AI1288" s="60">
        <v>220</v>
      </c>
      <c r="AJ1288" s="133" t="s">
        <v>1901</v>
      </c>
      <c r="AK1288" s="73" t="s">
        <v>1960</v>
      </c>
      <c r="AL1288" s="3"/>
      <c r="AM1288" s="4"/>
      <c r="AN1288" s="5"/>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6"/>
      <c r="CO1288" s="7"/>
      <c r="CP1288" s="6"/>
      <c r="CQ1288" s="7"/>
      <c r="CR1288" s="6"/>
      <c r="CS1288" s="7"/>
      <c r="CT1288" s="8">
        <f t="shared" si="327"/>
        <v>0</v>
      </c>
      <c r="CU1288" s="9"/>
      <c r="CV1288" s="10"/>
      <c r="CW1288" s="11">
        <v>30</v>
      </c>
      <c r="CX1288" s="12">
        <f>30*85000</f>
        <v>2550000</v>
      </c>
      <c r="CY1288" s="26"/>
      <c r="CZ1288" s="12"/>
      <c r="DA1288" s="9"/>
      <c r="DB1288" s="10"/>
      <c r="DC1288" s="64"/>
      <c r="DD1288" s="22"/>
    </row>
    <row r="1289" spans="1:108" s="119" customFormat="1" ht="33.75" outlineLevel="2">
      <c r="A1289" s="178">
        <v>40303</v>
      </c>
      <c r="B1289" s="82" t="s">
        <v>582</v>
      </c>
      <c r="C1289" s="82" t="s">
        <v>1071</v>
      </c>
      <c r="D1289" s="165" t="s">
        <v>1262</v>
      </c>
      <c r="E1289" s="167"/>
      <c r="F1289" s="66"/>
      <c r="G1289" s="66"/>
      <c r="H1289" s="66">
        <f>60*5</f>
        <v>300</v>
      </c>
      <c r="I1289" s="66">
        <v>60</v>
      </c>
      <c r="J1289" s="66"/>
      <c r="K1289" s="66">
        <v>10</v>
      </c>
      <c r="L1289" s="66">
        <v>3</v>
      </c>
      <c r="M1289" s="66"/>
      <c r="N1289" s="66"/>
      <c r="O1289" s="66"/>
      <c r="P1289" s="66"/>
      <c r="Q1289" s="66"/>
      <c r="R1289" s="66"/>
      <c r="S1289" s="66"/>
      <c r="T1289" s="67">
        <v>150</v>
      </c>
      <c r="U1289" s="151"/>
      <c r="V1289" s="1">
        <v>40389</v>
      </c>
      <c r="W1289" s="68">
        <f t="shared" si="322"/>
        <v>0</v>
      </c>
      <c r="X1289" s="68">
        <f t="shared" si="323"/>
        <v>2550000</v>
      </c>
      <c r="Y1289" s="68">
        <f t="shared" si="324"/>
        <v>0</v>
      </c>
      <c r="Z1289" s="68">
        <f t="shared" si="325"/>
        <v>0</v>
      </c>
      <c r="AA1289" s="68"/>
      <c r="AB1289" s="68">
        <v>0</v>
      </c>
      <c r="AC1289" s="69">
        <f t="shared" si="326"/>
        <v>2550000</v>
      </c>
      <c r="AD1289" s="70">
        <v>0</v>
      </c>
      <c r="AE1289" s="63">
        <v>40353</v>
      </c>
      <c r="AF1289" s="72">
        <v>30750</v>
      </c>
      <c r="AG1289" s="63" t="s">
        <v>954</v>
      </c>
      <c r="AH1289" s="23" t="s">
        <v>955</v>
      </c>
      <c r="AI1289" s="60">
        <v>220</v>
      </c>
      <c r="AJ1289" s="133" t="s">
        <v>1901</v>
      </c>
      <c r="AK1289" s="73" t="s">
        <v>1960</v>
      </c>
      <c r="AL1289" s="3"/>
      <c r="AM1289" s="4"/>
      <c r="AN1289" s="5"/>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6"/>
      <c r="CO1289" s="7"/>
      <c r="CP1289" s="6"/>
      <c r="CQ1289" s="7"/>
      <c r="CR1289" s="6"/>
      <c r="CS1289" s="7"/>
      <c r="CT1289" s="8">
        <f t="shared" si="327"/>
        <v>0</v>
      </c>
      <c r="CU1289" s="9"/>
      <c r="CV1289" s="10"/>
      <c r="CW1289" s="11">
        <v>30</v>
      </c>
      <c r="CX1289" s="12">
        <f>30*85000</f>
        <v>2550000</v>
      </c>
      <c r="CY1289" s="26"/>
      <c r="CZ1289" s="12"/>
      <c r="DA1289" s="9"/>
      <c r="DB1289" s="10"/>
      <c r="DC1289" s="64"/>
      <c r="DD1289" s="22"/>
    </row>
    <row r="1290" spans="1:108" s="119" customFormat="1" ht="72" outlineLevel="2">
      <c r="A1290" s="178">
        <v>40303</v>
      </c>
      <c r="B1290" s="82" t="s">
        <v>582</v>
      </c>
      <c r="C1290" s="82" t="s">
        <v>891</v>
      </c>
      <c r="D1290" s="165" t="s">
        <v>1262</v>
      </c>
      <c r="E1290" s="167"/>
      <c r="F1290" s="66"/>
      <c r="G1290" s="66"/>
      <c r="H1290" s="66">
        <f>804*5</f>
        <v>4020</v>
      </c>
      <c r="I1290" s="66">
        <v>804</v>
      </c>
      <c r="J1290" s="66"/>
      <c r="K1290" s="66">
        <v>20</v>
      </c>
      <c r="L1290" s="66">
        <v>4</v>
      </c>
      <c r="M1290" s="66"/>
      <c r="N1290" s="66"/>
      <c r="O1290" s="66"/>
      <c r="P1290" s="66"/>
      <c r="Q1290" s="66"/>
      <c r="R1290" s="66"/>
      <c r="S1290" s="66"/>
      <c r="T1290" s="67">
        <v>200</v>
      </c>
      <c r="U1290" s="151" t="s">
        <v>414</v>
      </c>
      <c r="V1290" s="1">
        <v>40389</v>
      </c>
      <c r="W1290" s="68">
        <f t="shared" si="322"/>
        <v>0</v>
      </c>
      <c r="X1290" s="68">
        <f t="shared" si="323"/>
        <v>10200000</v>
      </c>
      <c r="Y1290" s="68">
        <f t="shared" si="324"/>
        <v>0</v>
      </c>
      <c r="Z1290" s="68">
        <f t="shared" si="325"/>
        <v>0</v>
      </c>
      <c r="AA1290" s="68"/>
      <c r="AB1290" s="68">
        <v>0</v>
      </c>
      <c r="AC1290" s="69">
        <f t="shared" si="326"/>
        <v>10200000</v>
      </c>
      <c r="AD1290" s="70">
        <v>0</v>
      </c>
      <c r="AE1290" s="63">
        <v>40353</v>
      </c>
      <c r="AF1290" s="72">
        <v>30750</v>
      </c>
      <c r="AG1290" s="63" t="s">
        <v>954</v>
      </c>
      <c r="AH1290" s="23" t="s">
        <v>955</v>
      </c>
      <c r="AI1290" s="60">
        <v>220</v>
      </c>
      <c r="AJ1290" s="133" t="s">
        <v>1901</v>
      </c>
      <c r="AK1290" s="73" t="s">
        <v>892</v>
      </c>
      <c r="AL1290" s="3"/>
      <c r="AM1290" s="4"/>
      <c r="AN1290" s="5"/>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6"/>
      <c r="CO1290" s="7"/>
      <c r="CP1290" s="6"/>
      <c r="CQ1290" s="7"/>
      <c r="CR1290" s="6"/>
      <c r="CS1290" s="7"/>
      <c r="CT1290" s="8">
        <f t="shared" si="327"/>
        <v>0</v>
      </c>
      <c r="CU1290" s="9"/>
      <c r="CV1290" s="10"/>
      <c r="CW1290" s="11">
        <v>120</v>
      </c>
      <c r="CX1290" s="12">
        <f>120*85000</f>
        <v>10200000</v>
      </c>
      <c r="CY1290" s="26"/>
      <c r="CZ1290" s="12"/>
      <c r="DA1290" s="9"/>
      <c r="DB1290" s="10"/>
      <c r="DC1290" s="64"/>
      <c r="DD1290" s="22"/>
    </row>
    <row r="1291" spans="1:108" s="119" customFormat="1" ht="33.75" outlineLevel="2">
      <c r="A1291" s="178">
        <v>40303</v>
      </c>
      <c r="B1291" s="82" t="s">
        <v>582</v>
      </c>
      <c r="C1291" s="82" t="s">
        <v>1615</v>
      </c>
      <c r="D1291" s="165" t="s">
        <v>1262</v>
      </c>
      <c r="E1291" s="167"/>
      <c r="F1291" s="66"/>
      <c r="G1291" s="66"/>
      <c r="H1291" s="66">
        <v>300</v>
      </c>
      <c r="I1291" s="66">
        <v>60</v>
      </c>
      <c r="J1291" s="66"/>
      <c r="K1291" s="66">
        <v>20</v>
      </c>
      <c r="L1291" s="66">
        <v>2</v>
      </c>
      <c r="M1291" s="66"/>
      <c r="N1291" s="66"/>
      <c r="O1291" s="66">
        <v>3</v>
      </c>
      <c r="P1291" s="66"/>
      <c r="Q1291" s="66"/>
      <c r="R1291" s="66"/>
      <c r="S1291" s="66"/>
      <c r="T1291" s="67"/>
      <c r="U1291" s="151"/>
      <c r="V1291" s="1">
        <v>40389</v>
      </c>
      <c r="W1291" s="68">
        <f t="shared" si="322"/>
        <v>0</v>
      </c>
      <c r="X1291" s="68">
        <f t="shared" si="323"/>
        <v>5100000</v>
      </c>
      <c r="Y1291" s="68">
        <f t="shared" si="324"/>
        <v>0</v>
      </c>
      <c r="Z1291" s="68">
        <f t="shared" si="325"/>
        <v>0</v>
      </c>
      <c r="AA1291" s="68"/>
      <c r="AB1291" s="68">
        <v>0</v>
      </c>
      <c r="AC1291" s="69">
        <f t="shared" si="326"/>
        <v>5100000</v>
      </c>
      <c r="AD1291" s="70">
        <v>0</v>
      </c>
      <c r="AE1291" s="63">
        <v>40353</v>
      </c>
      <c r="AF1291" s="72">
        <v>30750</v>
      </c>
      <c r="AG1291" s="63" t="s">
        <v>954</v>
      </c>
      <c r="AH1291" s="23" t="s">
        <v>955</v>
      </c>
      <c r="AI1291" s="60">
        <v>220</v>
      </c>
      <c r="AJ1291" s="133" t="s">
        <v>1901</v>
      </c>
      <c r="AK1291" s="73" t="s">
        <v>1960</v>
      </c>
      <c r="AL1291" s="3"/>
      <c r="AM1291" s="4"/>
      <c r="AN1291" s="5"/>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6"/>
      <c r="CO1291" s="7"/>
      <c r="CP1291" s="6"/>
      <c r="CQ1291" s="7"/>
      <c r="CR1291" s="6"/>
      <c r="CS1291" s="7"/>
      <c r="CT1291" s="8">
        <f t="shared" si="327"/>
        <v>0</v>
      </c>
      <c r="CU1291" s="9"/>
      <c r="CV1291" s="10"/>
      <c r="CW1291" s="11">
        <v>60</v>
      </c>
      <c r="CX1291" s="12">
        <f>60*85000</f>
        <v>5100000</v>
      </c>
      <c r="CY1291" s="26"/>
      <c r="CZ1291" s="12"/>
      <c r="DA1291" s="9"/>
      <c r="DB1291" s="10"/>
      <c r="DC1291" s="64"/>
      <c r="DD1291" s="22"/>
    </row>
    <row r="1292" spans="1:108" s="119" customFormat="1" ht="33.75" outlineLevel="2">
      <c r="A1292" s="178">
        <v>40303</v>
      </c>
      <c r="B1292" s="82" t="s">
        <v>582</v>
      </c>
      <c r="C1292" s="82" t="s">
        <v>1444</v>
      </c>
      <c r="D1292" s="165" t="s">
        <v>1262</v>
      </c>
      <c r="E1292" s="167"/>
      <c r="F1292" s="66"/>
      <c r="G1292" s="66"/>
      <c r="H1292" s="66">
        <v>300</v>
      </c>
      <c r="I1292" s="66">
        <v>50</v>
      </c>
      <c r="J1292" s="66"/>
      <c r="K1292" s="66">
        <v>10</v>
      </c>
      <c r="L1292" s="66">
        <v>2</v>
      </c>
      <c r="M1292" s="66"/>
      <c r="N1292" s="66"/>
      <c r="O1292" s="66"/>
      <c r="P1292" s="66"/>
      <c r="Q1292" s="66"/>
      <c r="R1292" s="66"/>
      <c r="S1292" s="66"/>
      <c r="T1292" s="67"/>
      <c r="U1292" s="151"/>
      <c r="V1292" s="1">
        <v>40389</v>
      </c>
      <c r="W1292" s="68">
        <f t="shared" si="322"/>
        <v>0</v>
      </c>
      <c r="X1292" s="68">
        <f t="shared" si="323"/>
        <v>4250000</v>
      </c>
      <c r="Y1292" s="68">
        <f t="shared" si="324"/>
        <v>0</v>
      </c>
      <c r="Z1292" s="68">
        <f t="shared" si="325"/>
        <v>0</v>
      </c>
      <c r="AA1292" s="68"/>
      <c r="AB1292" s="68">
        <v>0</v>
      </c>
      <c r="AC1292" s="69">
        <f t="shared" si="326"/>
        <v>4250000</v>
      </c>
      <c r="AD1292" s="70">
        <v>0</v>
      </c>
      <c r="AE1292" s="63">
        <v>40353</v>
      </c>
      <c r="AF1292" s="72">
        <v>30750</v>
      </c>
      <c r="AG1292" s="63" t="s">
        <v>954</v>
      </c>
      <c r="AH1292" s="23" t="s">
        <v>955</v>
      </c>
      <c r="AI1292" s="60">
        <v>220</v>
      </c>
      <c r="AJ1292" s="133" t="s">
        <v>1901</v>
      </c>
      <c r="AK1292" s="73" t="s">
        <v>1960</v>
      </c>
      <c r="AL1292" s="3"/>
      <c r="AM1292" s="4"/>
      <c r="AN1292" s="5"/>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6"/>
      <c r="CO1292" s="7"/>
      <c r="CP1292" s="6"/>
      <c r="CQ1292" s="7"/>
      <c r="CR1292" s="6"/>
      <c r="CS1292" s="7"/>
      <c r="CT1292" s="8">
        <f t="shared" si="327"/>
        <v>0</v>
      </c>
      <c r="CU1292" s="9"/>
      <c r="CV1292" s="10"/>
      <c r="CW1292" s="11">
        <v>50</v>
      </c>
      <c r="CX1292" s="12">
        <f>50*85000</f>
        <v>4250000</v>
      </c>
      <c r="CY1292" s="26"/>
      <c r="CZ1292" s="12"/>
      <c r="DA1292" s="9"/>
      <c r="DB1292" s="10"/>
      <c r="DC1292" s="64"/>
      <c r="DD1292" s="22"/>
    </row>
    <row r="1293" spans="1:108" s="119" customFormat="1" ht="33.75" outlineLevel="2">
      <c r="A1293" s="178">
        <v>40303</v>
      </c>
      <c r="B1293" s="82" t="s">
        <v>582</v>
      </c>
      <c r="C1293" s="82" t="s">
        <v>1073</v>
      </c>
      <c r="D1293" s="165" t="s">
        <v>1262</v>
      </c>
      <c r="E1293" s="167"/>
      <c r="F1293" s="66"/>
      <c r="G1293" s="66"/>
      <c r="H1293" s="66">
        <f>25*5</f>
        <v>125</v>
      </c>
      <c r="I1293" s="66">
        <v>25</v>
      </c>
      <c r="J1293" s="66"/>
      <c r="K1293" s="66"/>
      <c r="L1293" s="66">
        <v>3</v>
      </c>
      <c r="M1293" s="66"/>
      <c r="N1293" s="66"/>
      <c r="O1293" s="66"/>
      <c r="P1293" s="66"/>
      <c r="Q1293" s="66"/>
      <c r="R1293" s="66"/>
      <c r="S1293" s="66"/>
      <c r="T1293" s="67"/>
      <c r="U1293" s="151"/>
      <c r="V1293" s="1">
        <v>40389</v>
      </c>
      <c r="W1293" s="68">
        <f t="shared" si="322"/>
        <v>0</v>
      </c>
      <c r="X1293" s="68">
        <f t="shared" si="323"/>
        <v>8500000</v>
      </c>
      <c r="Y1293" s="68">
        <f t="shared" si="324"/>
        <v>0</v>
      </c>
      <c r="Z1293" s="68">
        <f t="shared" si="325"/>
        <v>0</v>
      </c>
      <c r="AA1293" s="68"/>
      <c r="AB1293" s="68">
        <v>0</v>
      </c>
      <c r="AC1293" s="69">
        <f t="shared" si="326"/>
        <v>8500000</v>
      </c>
      <c r="AD1293" s="70">
        <v>0</v>
      </c>
      <c r="AE1293" s="63">
        <v>40353</v>
      </c>
      <c r="AF1293" s="72">
        <v>30750</v>
      </c>
      <c r="AG1293" s="63" t="s">
        <v>954</v>
      </c>
      <c r="AH1293" s="23" t="s">
        <v>955</v>
      </c>
      <c r="AI1293" s="60">
        <v>220</v>
      </c>
      <c r="AJ1293" s="133" t="s">
        <v>1901</v>
      </c>
      <c r="AK1293" s="73" t="s">
        <v>1960</v>
      </c>
      <c r="AL1293" s="3"/>
      <c r="AM1293" s="4"/>
      <c r="AN1293" s="5"/>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6"/>
      <c r="CO1293" s="7"/>
      <c r="CP1293" s="6"/>
      <c r="CQ1293" s="7"/>
      <c r="CR1293" s="6"/>
      <c r="CS1293" s="7"/>
      <c r="CT1293" s="8">
        <f t="shared" si="327"/>
        <v>0</v>
      </c>
      <c r="CU1293" s="9"/>
      <c r="CV1293" s="10"/>
      <c r="CW1293" s="11">
        <v>100</v>
      </c>
      <c r="CX1293" s="12">
        <f>100*85000</f>
        <v>8500000</v>
      </c>
      <c r="CY1293" s="26"/>
      <c r="CZ1293" s="12"/>
      <c r="DA1293" s="9"/>
      <c r="DB1293" s="10"/>
      <c r="DC1293" s="64"/>
      <c r="DD1293" s="22"/>
    </row>
    <row r="1294" spans="1:108" s="119" customFormat="1" ht="33.75" outlineLevel="2">
      <c r="A1294" s="178">
        <v>40303</v>
      </c>
      <c r="B1294" s="82" t="s">
        <v>582</v>
      </c>
      <c r="C1294" s="82" t="s">
        <v>1072</v>
      </c>
      <c r="D1294" s="165" t="s">
        <v>1262</v>
      </c>
      <c r="E1294" s="167"/>
      <c r="F1294" s="66"/>
      <c r="G1294" s="66"/>
      <c r="H1294" s="66">
        <v>150</v>
      </c>
      <c r="I1294" s="66">
        <v>30</v>
      </c>
      <c r="J1294" s="66"/>
      <c r="K1294" s="66">
        <v>10</v>
      </c>
      <c r="L1294" s="66">
        <v>4</v>
      </c>
      <c r="M1294" s="66">
        <v>2</v>
      </c>
      <c r="N1294" s="66"/>
      <c r="O1294" s="66"/>
      <c r="P1294" s="66"/>
      <c r="Q1294" s="66"/>
      <c r="R1294" s="66">
        <v>1</v>
      </c>
      <c r="S1294" s="66"/>
      <c r="T1294" s="67">
        <v>500</v>
      </c>
      <c r="U1294" s="151"/>
      <c r="V1294" s="1">
        <v>40389</v>
      </c>
      <c r="W1294" s="68">
        <f t="shared" si="322"/>
        <v>0</v>
      </c>
      <c r="X1294" s="68">
        <f t="shared" si="323"/>
        <v>4250000</v>
      </c>
      <c r="Y1294" s="68">
        <f t="shared" si="324"/>
        <v>0</v>
      </c>
      <c r="Z1294" s="68">
        <f t="shared" si="325"/>
        <v>0</v>
      </c>
      <c r="AA1294" s="68"/>
      <c r="AB1294" s="68">
        <v>0</v>
      </c>
      <c r="AC1294" s="69">
        <f t="shared" si="326"/>
        <v>4250000</v>
      </c>
      <c r="AD1294" s="70">
        <v>0</v>
      </c>
      <c r="AE1294" s="63">
        <v>40353</v>
      </c>
      <c r="AF1294" s="72">
        <v>30750</v>
      </c>
      <c r="AG1294" s="63" t="s">
        <v>954</v>
      </c>
      <c r="AH1294" s="23" t="s">
        <v>955</v>
      </c>
      <c r="AI1294" s="60">
        <v>220</v>
      </c>
      <c r="AJ1294" s="133" t="s">
        <v>1901</v>
      </c>
      <c r="AK1294" s="73" t="s">
        <v>1960</v>
      </c>
      <c r="AL1294" s="3"/>
      <c r="AM1294" s="4"/>
      <c r="AN1294" s="5"/>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6"/>
      <c r="CO1294" s="7"/>
      <c r="CP1294" s="6"/>
      <c r="CQ1294" s="7"/>
      <c r="CR1294" s="6"/>
      <c r="CS1294" s="7"/>
      <c r="CT1294" s="8">
        <f t="shared" si="327"/>
        <v>0</v>
      </c>
      <c r="CU1294" s="9"/>
      <c r="CV1294" s="10"/>
      <c r="CW1294" s="11">
        <v>50</v>
      </c>
      <c r="CX1294" s="12">
        <f>50*85000</f>
        <v>4250000</v>
      </c>
      <c r="CY1294" s="26"/>
      <c r="CZ1294" s="12"/>
      <c r="DA1294" s="9"/>
      <c r="DB1294" s="10"/>
      <c r="DC1294" s="64"/>
      <c r="DD1294" s="22"/>
    </row>
    <row r="1295" spans="1:108" s="119" customFormat="1" ht="33.75" outlineLevel="2">
      <c r="A1295" s="178">
        <v>40303</v>
      </c>
      <c r="B1295" s="82" t="s">
        <v>582</v>
      </c>
      <c r="C1295" s="82" t="s">
        <v>421</v>
      </c>
      <c r="D1295" s="165" t="s">
        <v>1262</v>
      </c>
      <c r="E1295" s="167"/>
      <c r="F1295" s="66"/>
      <c r="G1295" s="66"/>
      <c r="H1295" s="66">
        <f>50*5</f>
        <v>250</v>
      </c>
      <c r="I1295" s="66">
        <v>50</v>
      </c>
      <c r="J1295" s="66"/>
      <c r="K1295" s="66">
        <v>20</v>
      </c>
      <c r="L1295" s="66">
        <v>3</v>
      </c>
      <c r="M1295" s="66">
        <v>2</v>
      </c>
      <c r="N1295" s="66"/>
      <c r="O1295" s="66">
        <v>1</v>
      </c>
      <c r="P1295" s="66"/>
      <c r="Q1295" s="66"/>
      <c r="R1295" s="66"/>
      <c r="S1295" s="66"/>
      <c r="T1295" s="67">
        <v>250</v>
      </c>
      <c r="U1295" s="151" t="s">
        <v>414</v>
      </c>
      <c r="V1295" s="1">
        <v>40389</v>
      </c>
      <c r="W1295" s="68">
        <f t="shared" si="322"/>
        <v>0</v>
      </c>
      <c r="X1295" s="68">
        <f t="shared" si="323"/>
        <v>4250000</v>
      </c>
      <c r="Y1295" s="68">
        <f t="shared" si="324"/>
        <v>0</v>
      </c>
      <c r="Z1295" s="68">
        <f t="shared" si="325"/>
        <v>0</v>
      </c>
      <c r="AA1295" s="68"/>
      <c r="AB1295" s="68">
        <v>0</v>
      </c>
      <c r="AC1295" s="69">
        <f t="shared" si="326"/>
        <v>4250000</v>
      </c>
      <c r="AD1295" s="70">
        <v>0</v>
      </c>
      <c r="AE1295" s="63">
        <v>40353</v>
      </c>
      <c r="AF1295" s="72">
        <v>30750</v>
      </c>
      <c r="AG1295" s="63" t="s">
        <v>954</v>
      </c>
      <c r="AH1295" s="23" t="s">
        <v>955</v>
      </c>
      <c r="AI1295" s="60">
        <v>220</v>
      </c>
      <c r="AJ1295" s="133" t="s">
        <v>1901</v>
      </c>
      <c r="AK1295" s="73" t="s">
        <v>1960</v>
      </c>
      <c r="AL1295" s="3"/>
      <c r="AM1295" s="4"/>
      <c r="AN1295" s="5"/>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6"/>
      <c r="CO1295" s="7"/>
      <c r="CP1295" s="6"/>
      <c r="CQ1295" s="7"/>
      <c r="CR1295" s="6"/>
      <c r="CS1295" s="7"/>
      <c r="CT1295" s="8">
        <f t="shared" si="327"/>
        <v>0</v>
      </c>
      <c r="CU1295" s="9"/>
      <c r="CV1295" s="10"/>
      <c r="CW1295" s="11">
        <v>50</v>
      </c>
      <c r="CX1295" s="12">
        <f>50*85000</f>
        <v>4250000</v>
      </c>
      <c r="CY1295" s="26"/>
      <c r="CZ1295" s="12"/>
      <c r="DA1295" s="9"/>
      <c r="DB1295" s="10"/>
      <c r="DC1295" s="64"/>
      <c r="DD1295" s="22"/>
    </row>
    <row r="1296" spans="1:108" s="119" customFormat="1" ht="33.75" outlineLevel="2">
      <c r="A1296" s="178">
        <v>40303</v>
      </c>
      <c r="B1296" s="82" t="s">
        <v>582</v>
      </c>
      <c r="C1296" s="82" t="s">
        <v>1617</v>
      </c>
      <c r="D1296" s="165" t="s">
        <v>1262</v>
      </c>
      <c r="E1296" s="167"/>
      <c r="F1296" s="66"/>
      <c r="G1296" s="66"/>
      <c r="H1296" s="66">
        <v>400</v>
      </c>
      <c r="I1296" s="66">
        <v>80</v>
      </c>
      <c r="J1296" s="66">
        <v>4</v>
      </c>
      <c r="K1296" s="66">
        <v>3</v>
      </c>
      <c r="L1296" s="66">
        <v>3</v>
      </c>
      <c r="M1296" s="66">
        <v>1</v>
      </c>
      <c r="N1296" s="66"/>
      <c r="O1296" s="66">
        <v>1</v>
      </c>
      <c r="P1296" s="66"/>
      <c r="Q1296" s="66"/>
      <c r="R1296" s="66"/>
      <c r="S1296" s="66"/>
      <c r="T1296" s="67">
        <v>150</v>
      </c>
      <c r="U1296" s="151" t="s">
        <v>414</v>
      </c>
      <c r="V1296" s="1">
        <v>40389</v>
      </c>
      <c r="W1296" s="68">
        <f t="shared" si="322"/>
        <v>0</v>
      </c>
      <c r="X1296" s="68">
        <f t="shared" si="323"/>
        <v>2550000</v>
      </c>
      <c r="Y1296" s="68">
        <f t="shared" si="324"/>
        <v>0</v>
      </c>
      <c r="Z1296" s="68">
        <f t="shared" si="325"/>
        <v>0</v>
      </c>
      <c r="AA1296" s="68"/>
      <c r="AB1296" s="68">
        <v>0</v>
      </c>
      <c r="AC1296" s="69">
        <f t="shared" si="326"/>
        <v>2550000</v>
      </c>
      <c r="AD1296" s="70">
        <v>0</v>
      </c>
      <c r="AE1296" s="63">
        <v>40353</v>
      </c>
      <c r="AF1296" s="72">
        <v>30750</v>
      </c>
      <c r="AG1296" s="63" t="s">
        <v>954</v>
      </c>
      <c r="AH1296" s="23" t="s">
        <v>955</v>
      </c>
      <c r="AI1296" s="60">
        <v>220</v>
      </c>
      <c r="AJ1296" s="133" t="s">
        <v>1901</v>
      </c>
      <c r="AK1296" s="73" t="s">
        <v>1960</v>
      </c>
      <c r="AL1296" s="3"/>
      <c r="AM1296" s="4"/>
      <c r="AN1296" s="5"/>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6"/>
      <c r="CO1296" s="7"/>
      <c r="CP1296" s="6"/>
      <c r="CQ1296" s="7"/>
      <c r="CR1296" s="6"/>
      <c r="CS1296" s="7"/>
      <c r="CT1296" s="8">
        <f t="shared" si="327"/>
        <v>0</v>
      </c>
      <c r="CU1296" s="9"/>
      <c r="CV1296" s="10"/>
      <c r="CW1296" s="11">
        <v>30</v>
      </c>
      <c r="CX1296" s="12">
        <f>30*85000</f>
        <v>2550000</v>
      </c>
      <c r="CY1296" s="26"/>
      <c r="CZ1296" s="12"/>
      <c r="DA1296" s="9"/>
      <c r="DB1296" s="10"/>
      <c r="DC1296" s="64"/>
      <c r="DD1296" s="22"/>
    </row>
    <row r="1297" spans="1:108" s="119" customFormat="1" ht="33.75" outlineLevel="2">
      <c r="A1297" s="178">
        <v>40303</v>
      </c>
      <c r="B1297" s="82" t="s">
        <v>582</v>
      </c>
      <c r="C1297" s="82" t="s">
        <v>1616</v>
      </c>
      <c r="D1297" s="165" t="s">
        <v>1262</v>
      </c>
      <c r="E1297" s="167"/>
      <c r="F1297" s="66"/>
      <c r="G1297" s="66"/>
      <c r="H1297" s="66">
        <v>500</v>
      </c>
      <c r="I1297" s="66">
        <v>100</v>
      </c>
      <c r="J1297" s="66"/>
      <c r="K1297" s="66"/>
      <c r="L1297" s="66">
        <v>8</v>
      </c>
      <c r="M1297" s="66"/>
      <c r="N1297" s="66"/>
      <c r="O1297" s="66"/>
      <c r="P1297" s="66"/>
      <c r="Q1297" s="66"/>
      <c r="R1297" s="66"/>
      <c r="S1297" s="66"/>
      <c r="T1297" s="67"/>
      <c r="U1297" s="151"/>
      <c r="V1297" s="1">
        <v>40389</v>
      </c>
      <c r="W1297" s="68">
        <f t="shared" si="322"/>
        <v>0</v>
      </c>
      <c r="X1297" s="68">
        <f t="shared" si="323"/>
        <v>8500000</v>
      </c>
      <c r="Y1297" s="68">
        <f t="shared" si="324"/>
        <v>0</v>
      </c>
      <c r="Z1297" s="68">
        <f t="shared" si="325"/>
        <v>0</v>
      </c>
      <c r="AA1297" s="68"/>
      <c r="AB1297" s="68">
        <v>0</v>
      </c>
      <c r="AC1297" s="69">
        <f t="shared" si="326"/>
        <v>8500000</v>
      </c>
      <c r="AD1297" s="70">
        <v>0</v>
      </c>
      <c r="AE1297" s="63">
        <v>40353</v>
      </c>
      <c r="AF1297" s="72">
        <v>30750</v>
      </c>
      <c r="AG1297" s="63" t="s">
        <v>954</v>
      </c>
      <c r="AH1297" s="23" t="s">
        <v>955</v>
      </c>
      <c r="AI1297" s="60">
        <v>220</v>
      </c>
      <c r="AJ1297" s="133" t="s">
        <v>1901</v>
      </c>
      <c r="AK1297" s="73" t="s">
        <v>1960</v>
      </c>
      <c r="AL1297" s="3"/>
      <c r="AM1297" s="4"/>
      <c r="AN1297" s="5"/>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6"/>
      <c r="CO1297" s="7"/>
      <c r="CP1297" s="6"/>
      <c r="CQ1297" s="7"/>
      <c r="CR1297" s="6"/>
      <c r="CS1297" s="7"/>
      <c r="CT1297" s="8">
        <f t="shared" si="327"/>
        <v>0</v>
      </c>
      <c r="CU1297" s="9"/>
      <c r="CV1297" s="10"/>
      <c r="CW1297" s="11">
        <v>100</v>
      </c>
      <c r="CX1297" s="12">
        <f>100*85000</f>
        <v>8500000</v>
      </c>
      <c r="CY1297" s="26"/>
      <c r="CZ1297" s="12"/>
      <c r="DA1297" s="9"/>
      <c r="DB1297" s="10"/>
      <c r="DC1297" s="64"/>
      <c r="DD1297" s="22"/>
    </row>
    <row r="1298" spans="1:108" s="119" customFormat="1" ht="33.75" outlineLevel="2">
      <c r="A1298" s="178">
        <v>40303</v>
      </c>
      <c r="B1298" s="82" t="s">
        <v>582</v>
      </c>
      <c r="C1298" s="82" t="s">
        <v>1618</v>
      </c>
      <c r="D1298" s="165" t="s">
        <v>1262</v>
      </c>
      <c r="E1298" s="167"/>
      <c r="F1298" s="66"/>
      <c r="G1298" s="66"/>
      <c r="H1298" s="66">
        <v>400</v>
      </c>
      <c r="I1298" s="66">
        <v>80</v>
      </c>
      <c r="J1298" s="66"/>
      <c r="K1298" s="66">
        <v>20</v>
      </c>
      <c r="L1298" s="66"/>
      <c r="M1298" s="66"/>
      <c r="N1298" s="66"/>
      <c r="O1298" s="66"/>
      <c r="P1298" s="66"/>
      <c r="Q1298" s="66"/>
      <c r="R1298" s="66"/>
      <c r="S1298" s="66"/>
      <c r="T1298" s="67"/>
      <c r="U1298" s="151"/>
      <c r="V1298" s="1">
        <v>40389</v>
      </c>
      <c r="W1298" s="68">
        <f t="shared" si="322"/>
        <v>0</v>
      </c>
      <c r="X1298" s="68">
        <f t="shared" si="323"/>
        <v>6800000</v>
      </c>
      <c r="Y1298" s="68">
        <f t="shared" si="324"/>
        <v>0</v>
      </c>
      <c r="Z1298" s="68">
        <f t="shared" si="325"/>
        <v>0</v>
      </c>
      <c r="AA1298" s="68"/>
      <c r="AB1298" s="68">
        <v>0</v>
      </c>
      <c r="AC1298" s="69">
        <f t="shared" si="326"/>
        <v>6800000</v>
      </c>
      <c r="AD1298" s="70">
        <v>0</v>
      </c>
      <c r="AE1298" s="63">
        <v>40353</v>
      </c>
      <c r="AF1298" s="72">
        <v>30750</v>
      </c>
      <c r="AG1298" s="63" t="s">
        <v>954</v>
      </c>
      <c r="AH1298" s="23" t="s">
        <v>955</v>
      </c>
      <c r="AI1298" s="60">
        <v>220</v>
      </c>
      <c r="AJ1298" s="133" t="s">
        <v>1901</v>
      </c>
      <c r="AK1298" s="73" t="s">
        <v>1960</v>
      </c>
      <c r="AL1298" s="3"/>
      <c r="AM1298" s="4"/>
      <c r="AN1298" s="5"/>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6"/>
      <c r="CO1298" s="7"/>
      <c r="CP1298" s="6"/>
      <c r="CQ1298" s="7"/>
      <c r="CR1298" s="6"/>
      <c r="CS1298" s="7"/>
      <c r="CT1298" s="8">
        <f t="shared" si="327"/>
        <v>0</v>
      </c>
      <c r="CU1298" s="9"/>
      <c r="CV1298" s="10"/>
      <c r="CW1298" s="11">
        <v>80</v>
      </c>
      <c r="CX1298" s="12">
        <f>80*85000</f>
        <v>6800000</v>
      </c>
      <c r="CY1298" s="26"/>
      <c r="CZ1298" s="12"/>
      <c r="DA1298" s="9"/>
      <c r="DB1298" s="10"/>
      <c r="DC1298" s="64"/>
      <c r="DD1298" s="22"/>
    </row>
    <row r="1299" spans="1:108" s="119" customFormat="1" ht="24" outlineLevel="2">
      <c r="A1299" s="178">
        <v>40311</v>
      </c>
      <c r="B1299" s="82" t="s">
        <v>582</v>
      </c>
      <c r="C1299" s="82" t="s">
        <v>614</v>
      </c>
      <c r="D1299" s="165" t="s">
        <v>1182</v>
      </c>
      <c r="E1299" s="167">
        <v>2</v>
      </c>
      <c r="F1299" s="66"/>
      <c r="G1299" s="66"/>
      <c r="H1299" s="66"/>
      <c r="I1299" s="66"/>
      <c r="J1299" s="66"/>
      <c r="K1299" s="66"/>
      <c r="L1299" s="66"/>
      <c r="M1299" s="66"/>
      <c r="N1299" s="66"/>
      <c r="O1299" s="66"/>
      <c r="P1299" s="66"/>
      <c r="Q1299" s="66"/>
      <c r="R1299" s="66"/>
      <c r="S1299" s="66"/>
      <c r="T1299" s="67"/>
      <c r="U1299" s="151"/>
      <c r="V1299" s="1"/>
      <c r="W1299" s="68">
        <f t="shared" si="322"/>
        <v>0</v>
      </c>
      <c r="X1299" s="68">
        <f t="shared" si="323"/>
        <v>0</v>
      </c>
      <c r="Y1299" s="68">
        <f t="shared" si="324"/>
        <v>0</v>
      </c>
      <c r="Z1299" s="68">
        <f t="shared" si="325"/>
        <v>0</v>
      </c>
      <c r="AA1299" s="68"/>
      <c r="AB1299" s="68">
        <v>0</v>
      </c>
      <c r="AC1299" s="69">
        <f t="shared" si="326"/>
        <v>0</v>
      </c>
      <c r="AD1299" s="70">
        <v>0</v>
      </c>
      <c r="AE1299" s="63">
        <v>40312</v>
      </c>
      <c r="AF1299" s="72"/>
      <c r="AG1299" s="63" t="s">
        <v>954</v>
      </c>
      <c r="AH1299" s="23" t="s">
        <v>955</v>
      </c>
      <c r="AI1299" s="60"/>
      <c r="AJ1299" s="157" t="s">
        <v>1543</v>
      </c>
      <c r="AK1299" s="73" t="s">
        <v>577</v>
      </c>
      <c r="AL1299" s="3"/>
      <c r="AM1299" s="4"/>
      <c r="AN1299" s="5"/>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6"/>
      <c r="CO1299" s="7"/>
      <c r="CP1299" s="6"/>
      <c r="CQ1299" s="7"/>
      <c r="CR1299" s="6"/>
      <c r="CS1299" s="7"/>
      <c r="CT1299" s="8">
        <f t="shared" si="327"/>
        <v>0</v>
      </c>
      <c r="CU1299" s="9"/>
      <c r="CV1299" s="10"/>
      <c r="CW1299" s="11"/>
      <c r="CX1299" s="12"/>
      <c r="CY1299" s="26"/>
      <c r="CZ1299" s="12"/>
      <c r="DA1299" s="9"/>
      <c r="DB1299" s="10"/>
      <c r="DC1299" s="64"/>
      <c r="DD1299" s="22"/>
    </row>
    <row r="1300" spans="1:108" s="119" customFormat="1" ht="33.75" outlineLevel="2">
      <c r="A1300" s="178">
        <v>40321</v>
      </c>
      <c r="B1300" s="82" t="s">
        <v>582</v>
      </c>
      <c r="C1300" s="82" t="s">
        <v>1101</v>
      </c>
      <c r="D1300" s="165" t="s">
        <v>1182</v>
      </c>
      <c r="E1300" s="167"/>
      <c r="F1300" s="66"/>
      <c r="G1300" s="66"/>
      <c r="H1300" s="66">
        <v>300</v>
      </c>
      <c r="I1300" s="66">
        <v>60</v>
      </c>
      <c r="J1300" s="66"/>
      <c r="K1300" s="66">
        <v>12</v>
      </c>
      <c r="L1300" s="66">
        <v>3</v>
      </c>
      <c r="M1300" s="66"/>
      <c r="N1300" s="66"/>
      <c r="O1300" s="66">
        <v>1</v>
      </c>
      <c r="P1300" s="66"/>
      <c r="Q1300" s="66"/>
      <c r="R1300" s="66"/>
      <c r="S1300" s="66"/>
      <c r="T1300" s="67"/>
      <c r="U1300" s="151"/>
      <c r="V1300" s="1">
        <v>40389</v>
      </c>
      <c r="W1300" s="68">
        <f t="shared" si="322"/>
        <v>0</v>
      </c>
      <c r="X1300" s="68">
        <f t="shared" si="323"/>
        <v>5100000</v>
      </c>
      <c r="Y1300" s="68">
        <f t="shared" si="324"/>
        <v>0</v>
      </c>
      <c r="Z1300" s="68">
        <f t="shared" si="325"/>
        <v>0</v>
      </c>
      <c r="AA1300" s="68"/>
      <c r="AB1300" s="68">
        <v>0</v>
      </c>
      <c r="AC1300" s="69">
        <f t="shared" si="326"/>
        <v>5100000</v>
      </c>
      <c r="AD1300" s="70">
        <v>0</v>
      </c>
      <c r="AE1300" s="63">
        <v>40353</v>
      </c>
      <c r="AF1300" s="72">
        <v>30750</v>
      </c>
      <c r="AG1300" s="63" t="s">
        <v>954</v>
      </c>
      <c r="AH1300" s="23" t="s">
        <v>955</v>
      </c>
      <c r="AI1300" s="60">
        <v>220</v>
      </c>
      <c r="AJ1300" s="133" t="s">
        <v>1901</v>
      </c>
      <c r="AK1300" s="73" t="s">
        <v>1102</v>
      </c>
      <c r="AL1300" s="3"/>
      <c r="AM1300" s="4"/>
      <c r="AN1300" s="5"/>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6"/>
      <c r="CO1300" s="7"/>
      <c r="CP1300" s="6"/>
      <c r="CQ1300" s="7"/>
      <c r="CR1300" s="6"/>
      <c r="CS1300" s="7"/>
      <c r="CT1300" s="8">
        <f t="shared" si="327"/>
        <v>0</v>
      </c>
      <c r="CU1300" s="9"/>
      <c r="CV1300" s="10"/>
      <c r="CW1300" s="11">
        <v>60</v>
      </c>
      <c r="CX1300" s="12">
        <f>60*85000</f>
        <v>5100000</v>
      </c>
      <c r="CY1300" s="26"/>
      <c r="CZ1300" s="12"/>
      <c r="DA1300" s="9"/>
      <c r="DB1300" s="10"/>
      <c r="DC1300" s="64"/>
      <c r="DD1300" s="22"/>
    </row>
    <row r="1301" spans="1:108" s="119" customFormat="1" ht="33.75" outlineLevel="2">
      <c r="A1301" s="178">
        <v>40321</v>
      </c>
      <c r="B1301" s="82" t="s">
        <v>582</v>
      </c>
      <c r="C1301" s="82" t="s">
        <v>1100</v>
      </c>
      <c r="D1301" s="165" t="s">
        <v>1182</v>
      </c>
      <c r="E1301" s="167"/>
      <c r="F1301" s="66"/>
      <c r="G1301" s="66"/>
      <c r="H1301" s="66">
        <f>120*5</f>
        <v>600</v>
      </c>
      <c r="I1301" s="66">
        <v>120</v>
      </c>
      <c r="J1301" s="66">
        <v>8</v>
      </c>
      <c r="K1301" s="66">
        <v>70</v>
      </c>
      <c r="L1301" s="66">
        <v>5</v>
      </c>
      <c r="M1301" s="66"/>
      <c r="N1301" s="66"/>
      <c r="O1301" s="66">
        <v>4</v>
      </c>
      <c r="P1301" s="66"/>
      <c r="Q1301" s="66"/>
      <c r="R1301" s="66">
        <v>1</v>
      </c>
      <c r="S1301" s="66"/>
      <c r="T1301" s="67">
        <v>400</v>
      </c>
      <c r="U1301" s="151"/>
      <c r="V1301" s="1">
        <v>40389</v>
      </c>
      <c r="W1301" s="68">
        <f t="shared" si="322"/>
        <v>0</v>
      </c>
      <c r="X1301" s="68">
        <f t="shared" si="323"/>
        <v>6800000</v>
      </c>
      <c r="Y1301" s="68">
        <f t="shared" si="324"/>
        <v>0</v>
      </c>
      <c r="Z1301" s="68">
        <f t="shared" si="325"/>
        <v>0</v>
      </c>
      <c r="AA1301" s="68"/>
      <c r="AB1301" s="68">
        <v>0</v>
      </c>
      <c r="AC1301" s="69">
        <f t="shared" si="326"/>
        <v>6800000</v>
      </c>
      <c r="AD1301" s="70">
        <v>0</v>
      </c>
      <c r="AE1301" s="63">
        <v>40353</v>
      </c>
      <c r="AF1301" s="72">
        <v>30750</v>
      </c>
      <c r="AG1301" s="63" t="s">
        <v>954</v>
      </c>
      <c r="AH1301" s="23" t="s">
        <v>955</v>
      </c>
      <c r="AI1301" s="60">
        <v>220</v>
      </c>
      <c r="AJ1301" s="133" t="s">
        <v>1901</v>
      </c>
      <c r="AK1301" s="81" t="s">
        <v>1104</v>
      </c>
      <c r="AL1301" s="3"/>
      <c r="AM1301" s="4"/>
      <c r="AN1301" s="5"/>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6"/>
      <c r="CO1301" s="7"/>
      <c r="CP1301" s="6"/>
      <c r="CQ1301" s="7"/>
      <c r="CR1301" s="6"/>
      <c r="CS1301" s="7"/>
      <c r="CT1301" s="8">
        <f t="shared" si="327"/>
        <v>0</v>
      </c>
      <c r="CU1301" s="9"/>
      <c r="CV1301" s="10"/>
      <c r="CW1301" s="11">
        <v>80</v>
      </c>
      <c r="CX1301" s="12">
        <f>80*85000</f>
        <v>6800000</v>
      </c>
      <c r="CY1301" s="26"/>
      <c r="CZ1301" s="12"/>
      <c r="DA1301" s="9"/>
      <c r="DB1301" s="10"/>
      <c r="DC1301" s="64"/>
      <c r="DD1301" s="22"/>
    </row>
    <row r="1302" spans="1:108" s="119" customFormat="1" ht="36" outlineLevel="2">
      <c r="A1302" s="178">
        <v>40321</v>
      </c>
      <c r="B1302" s="82" t="s">
        <v>582</v>
      </c>
      <c r="C1302" s="82" t="s">
        <v>1217</v>
      </c>
      <c r="D1302" s="165" t="s">
        <v>1182</v>
      </c>
      <c r="E1302" s="167"/>
      <c r="F1302" s="66"/>
      <c r="G1302" s="66"/>
      <c r="H1302" s="66">
        <v>400</v>
      </c>
      <c r="I1302" s="66">
        <v>80</v>
      </c>
      <c r="J1302" s="66"/>
      <c r="K1302" s="66">
        <v>18</v>
      </c>
      <c r="L1302" s="66">
        <v>4</v>
      </c>
      <c r="M1302" s="66"/>
      <c r="N1302" s="66"/>
      <c r="O1302" s="66">
        <v>3</v>
      </c>
      <c r="P1302" s="66"/>
      <c r="Q1302" s="66"/>
      <c r="R1302" s="66">
        <v>1</v>
      </c>
      <c r="S1302" s="66"/>
      <c r="T1302" s="67"/>
      <c r="U1302" s="151"/>
      <c r="V1302" s="1">
        <v>40389</v>
      </c>
      <c r="W1302" s="68">
        <f t="shared" si="322"/>
        <v>0</v>
      </c>
      <c r="X1302" s="68">
        <f t="shared" si="323"/>
        <v>6800000</v>
      </c>
      <c r="Y1302" s="68">
        <f t="shared" si="324"/>
        <v>0</v>
      </c>
      <c r="Z1302" s="68">
        <f t="shared" si="325"/>
        <v>0</v>
      </c>
      <c r="AA1302" s="68"/>
      <c r="AB1302" s="68">
        <v>0</v>
      </c>
      <c r="AC1302" s="69">
        <f t="shared" si="326"/>
        <v>6800000</v>
      </c>
      <c r="AD1302" s="70">
        <v>0</v>
      </c>
      <c r="AE1302" s="63">
        <v>40353</v>
      </c>
      <c r="AF1302" s="72">
        <v>30750</v>
      </c>
      <c r="AG1302" s="63" t="s">
        <v>954</v>
      </c>
      <c r="AH1302" s="23" t="s">
        <v>955</v>
      </c>
      <c r="AI1302" s="60">
        <v>220</v>
      </c>
      <c r="AJ1302" s="133" t="s">
        <v>1901</v>
      </c>
      <c r="AK1302" s="73" t="s">
        <v>1848</v>
      </c>
      <c r="AL1302" s="3"/>
      <c r="AM1302" s="4"/>
      <c r="AN1302" s="5"/>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6"/>
      <c r="CO1302" s="7"/>
      <c r="CP1302" s="6"/>
      <c r="CQ1302" s="7"/>
      <c r="CR1302" s="6"/>
      <c r="CS1302" s="7"/>
      <c r="CT1302" s="8">
        <f t="shared" si="327"/>
        <v>0</v>
      </c>
      <c r="CU1302" s="9"/>
      <c r="CV1302" s="10"/>
      <c r="CW1302" s="11">
        <v>80</v>
      </c>
      <c r="CX1302" s="12">
        <f>80*85000</f>
        <v>6800000</v>
      </c>
      <c r="CY1302" s="26"/>
      <c r="CZ1302" s="12"/>
      <c r="DA1302" s="9"/>
      <c r="DB1302" s="10"/>
      <c r="DC1302" s="64"/>
      <c r="DD1302" s="22"/>
    </row>
    <row r="1303" spans="1:108" s="119" customFormat="1" ht="22.5" outlineLevel="2">
      <c r="A1303" s="178">
        <v>40325</v>
      </c>
      <c r="B1303" s="82" t="s">
        <v>582</v>
      </c>
      <c r="C1303" s="82" t="s">
        <v>1766</v>
      </c>
      <c r="D1303" s="165" t="s">
        <v>1182</v>
      </c>
      <c r="E1303" s="167"/>
      <c r="F1303" s="66"/>
      <c r="G1303" s="66"/>
      <c r="H1303" s="66">
        <v>11</v>
      </c>
      <c r="I1303" s="66">
        <v>3</v>
      </c>
      <c r="J1303" s="66"/>
      <c r="K1303" s="66"/>
      <c r="L1303" s="66"/>
      <c r="M1303" s="66"/>
      <c r="N1303" s="66"/>
      <c r="O1303" s="66"/>
      <c r="P1303" s="66"/>
      <c r="Q1303" s="66"/>
      <c r="R1303" s="66"/>
      <c r="S1303" s="66"/>
      <c r="T1303" s="67"/>
      <c r="U1303" s="151"/>
      <c r="V1303" s="1"/>
      <c r="W1303" s="68">
        <f t="shared" si="322"/>
        <v>0</v>
      </c>
      <c r="X1303" s="68">
        <f t="shared" si="323"/>
        <v>0</v>
      </c>
      <c r="Y1303" s="68">
        <f t="shared" si="324"/>
        <v>0</v>
      </c>
      <c r="Z1303" s="68">
        <f t="shared" si="325"/>
        <v>0</v>
      </c>
      <c r="AA1303" s="68"/>
      <c r="AB1303" s="68">
        <v>0</v>
      </c>
      <c r="AC1303" s="69">
        <f t="shared" si="326"/>
        <v>0</v>
      </c>
      <c r="AD1303" s="70">
        <v>0</v>
      </c>
      <c r="AE1303" s="63">
        <v>40331</v>
      </c>
      <c r="AF1303" s="72">
        <v>38854</v>
      </c>
      <c r="AG1303" s="63" t="s">
        <v>954</v>
      </c>
      <c r="AH1303" s="23" t="s">
        <v>955</v>
      </c>
      <c r="AI1303" s="60"/>
      <c r="AJ1303" s="157" t="s">
        <v>1543</v>
      </c>
      <c r="AK1303" s="73" t="s">
        <v>1565</v>
      </c>
      <c r="AL1303" s="3"/>
      <c r="AM1303" s="4"/>
      <c r="AN1303" s="5"/>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6"/>
      <c r="CO1303" s="7"/>
      <c r="CP1303" s="6"/>
      <c r="CQ1303" s="7"/>
      <c r="CR1303" s="6"/>
      <c r="CS1303" s="7"/>
      <c r="CT1303" s="8">
        <f t="shared" si="327"/>
        <v>0</v>
      </c>
      <c r="CU1303" s="9"/>
      <c r="CV1303" s="10"/>
      <c r="CW1303" s="11"/>
      <c r="CX1303" s="12"/>
      <c r="CY1303" s="26"/>
      <c r="CZ1303" s="12"/>
      <c r="DA1303" s="9"/>
      <c r="DB1303" s="10"/>
      <c r="DC1303" s="64"/>
      <c r="DD1303" s="22"/>
    </row>
    <row r="1304" spans="1:108" s="119" customFormat="1" ht="22.5" outlineLevel="2">
      <c r="A1304" s="178">
        <v>40325</v>
      </c>
      <c r="B1304" s="82" t="s">
        <v>582</v>
      </c>
      <c r="C1304" s="82" t="s">
        <v>1712</v>
      </c>
      <c r="D1304" s="165" t="s">
        <v>1262</v>
      </c>
      <c r="E1304" s="167"/>
      <c r="F1304" s="66"/>
      <c r="G1304" s="66"/>
      <c r="H1304" s="66">
        <f>1145*5</f>
        <v>5725</v>
      </c>
      <c r="I1304" s="66">
        <f>1200-55</f>
        <v>1145</v>
      </c>
      <c r="J1304" s="66">
        <v>28</v>
      </c>
      <c r="K1304" s="66">
        <f>120-53</f>
        <v>67</v>
      </c>
      <c r="L1304" s="66"/>
      <c r="M1304" s="66"/>
      <c r="N1304" s="66"/>
      <c r="O1304" s="66"/>
      <c r="P1304" s="66"/>
      <c r="Q1304" s="66"/>
      <c r="R1304" s="66"/>
      <c r="S1304" s="66"/>
      <c r="T1304" s="67">
        <v>200</v>
      </c>
      <c r="U1304" s="151"/>
      <c r="V1304" s="1"/>
      <c r="W1304" s="68">
        <f t="shared" si="322"/>
        <v>0</v>
      </c>
      <c r="X1304" s="68">
        <f t="shared" si="323"/>
        <v>0</v>
      </c>
      <c r="Y1304" s="68">
        <f t="shared" si="324"/>
        <v>0</v>
      </c>
      <c r="Z1304" s="68">
        <f t="shared" si="325"/>
        <v>0</v>
      </c>
      <c r="AA1304" s="68"/>
      <c r="AB1304" s="68">
        <v>0</v>
      </c>
      <c r="AC1304" s="69">
        <f t="shared" si="326"/>
        <v>0</v>
      </c>
      <c r="AD1304" s="70">
        <v>0</v>
      </c>
      <c r="AE1304" s="63">
        <v>40326</v>
      </c>
      <c r="AF1304" s="72">
        <v>38584</v>
      </c>
      <c r="AG1304" s="63" t="s">
        <v>954</v>
      </c>
      <c r="AH1304" s="23" t="s">
        <v>955</v>
      </c>
      <c r="AI1304" s="60"/>
      <c r="AJ1304" s="157" t="s">
        <v>1543</v>
      </c>
      <c r="AK1304" s="73" t="s">
        <v>1095</v>
      </c>
      <c r="AL1304" s="3"/>
      <c r="AM1304" s="4"/>
      <c r="AN1304" s="5"/>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6"/>
      <c r="CO1304" s="7"/>
      <c r="CP1304" s="6"/>
      <c r="CQ1304" s="7"/>
      <c r="CR1304" s="6"/>
      <c r="CS1304" s="7"/>
      <c r="CT1304" s="8">
        <f t="shared" si="327"/>
        <v>0</v>
      </c>
      <c r="CU1304" s="9"/>
      <c r="CV1304" s="10"/>
      <c r="CW1304" s="11"/>
      <c r="CX1304" s="12"/>
      <c r="CY1304" s="26"/>
      <c r="CZ1304" s="12"/>
      <c r="DA1304" s="9"/>
      <c r="DB1304" s="10"/>
      <c r="DC1304" s="64"/>
      <c r="DD1304" s="22"/>
    </row>
    <row r="1305" spans="1:108" s="119" customFormat="1" ht="22.5" outlineLevel="2">
      <c r="A1305" s="178">
        <v>40328</v>
      </c>
      <c r="B1305" s="82" t="s">
        <v>582</v>
      </c>
      <c r="C1305" s="82" t="s">
        <v>1766</v>
      </c>
      <c r="D1305" s="165" t="s">
        <v>1262</v>
      </c>
      <c r="E1305" s="167"/>
      <c r="F1305" s="66"/>
      <c r="G1305" s="66"/>
      <c r="H1305" s="66">
        <v>486</v>
      </c>
      <c r="I1305" s="66">
        <v>162</v>
      </c>
      <c r="J1305" s="66"/>
      <c r="K1305" s="66"/>
      <c r="L1305" s="66"/>
      <c r="M1305" s="66"/>
      <c r="N1305" s="66"/>
      <c r="O1305" s="66"/>
      <c r="P1305" s="66"/>
      <c r="Q1305" s="66"/>
      <c r="R1305" s="66"/>
      <c r="S1305" s="66"/>
      <c r="T1305" s="67"/>
      <c r="U1305" s="151"/>
      <c r="V1305" s="1"/>
      <c r="W1305" s="68">
        <f t="shared" si="322"/>
        <v>0</v>
      </c>
      <c r="X1305" s="68">
        <f t="shared" si="323"/>
        <v>0</v>
      </c>
      <c r="Y1305" s="68">
        <f t="shared" si="324"/>
        <v>0</v>
      </c>
      <c r="Z1305" s="68">
        <f t="shared" si="325"/>
        <v>0</v>
      </c>
      <c r="AA1305" s="68"/>
      <c r="AB1305" s="68">
        <v>0</v>
      </c>
      <c r="AC1305" s="69">
        <f t="shared" si="326"/>
        <v>0</v>
      </c>
      <c r="AD1305" s="70">
        <v>0</v>
      </c>
      <c r="AE1305" s="63">
        <v>40331</v>
      </c>
      <c r="AF1305" s="72">
        <v>38854</v>
      </c>
      <c r="AG1305" s="63" t="s">
        <v>954</v>
      </c>
      <c r="AH1305" s="23" t="s">
        <v>955</v>
      </c>
      <c r="AI1305" s="60"/>
      <c r="AJ1305" s="157" t="s">
        <v>1543</v>
      </c>
      <c r="AK1305" s="73" t="s">
        <v>1565</v>
      </c>
      <c r="AL1305" s="3"/>
      <c r="AM1305" s="4"/>
      <c r="AN1305" s="5"/>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6"/>
      <c r="CO1305" s="7"/>
      <c r="CP1305" s="6"/>
      <c r="CQ1305" s="7"/>
      <c r="CR1305" s="6"/>
      <c r="CS1305" s="7"/>
      <c r="CT1305" s="8">
        <f t="shared" si="327"/>
        <v>0</v>
      </c>
      <c r="CU1305" s="9"/>
      <c r="CV1305" s="10"/>
      <c r="CW1305" s="11"/>
      <c r="CX1305" s="12"/>
      <c r="CY1305" s="26"/>
      <c r="CZ1305" s="12"/>
      <c r="DA1305" s="9"/>
      <c r="DB1305" s="10"/>
      <c r="DC1305" s="64"/>
      <c r="DD1305" s="22"/>
    </row>
    <row r="1306" spans="1:108" s="119" customFormat="1" ht="24" outlineLevel="2">
      <c r="A1306" s="178">
        <v>40329</v>
      </c>
      <c r="B1306" s="82" t="s">
        <v>582</v>
      </c>
      <c r="C1306" s="82" t="s">
        <v>1154</v>
      </c>
      <c r="D1306" s="165" t="s">
        <v>1262</v>
      </c>
      <c r="E1306" s="167"/>
      <c r="F1306" s="66"/>
      <c r="G1306" s="66"/>
      <c r="H1306" s="66">
        <f>105*5</f>
        <v>525</v>
      </c>
      <c r="I1306" s="66">
        <v>105</v>
      </c>
      <c r="J1306" s="66">
        <v>6</v>
      </c>
      <c r="K1306" s="66">
        <v>36</v>
      </c>
      <c r="L1306" s="66"/>
      <c r="M1306" s="66"/>
      <c r="N1306" s="66"/>
      <c r="O1306" s="66"/>
      <c r="P1306" s="66"/>
      <c r="Q1306" s="66"/>
      <c r="R1306" s="66"/>
      <c r="S1306" s="66"/>
      <c r="T1306" s="67"/>
      <c r="U1306" s="151"/>
      <c r="V1306" s="1"/>
      <c r="W1306" s="68">
        <f t="shared" si="322"/>
        <v>0</v>
      </c>
      <c r="X1306" s="68">
        <f t="shared" si="323"/>
        <v>0</v>
      </c>
      <c r="Y1306" s="68">
        <f t="shared" si="324"/>
        <v>0</v>
      </c>
      <c r="Z1306" s="68">
        <f t="shared" si="325"/>
        <v>0</v>
      </c>
      <c r="AA1306" s="68"/>
      <c r="AB1306" s="68">
        <v>0</v>
      </c>
      <c r="AC1306" s="69">
        <f t="shared" si="326"/>
        <v>0</v>
      </c>
      <c r="AD1306" s="70">
        <v>0</v>
      </c>
      <c r="AE1306" s="63">
        <v>40330</v>
      </c>
      <c r="AF1306" s="72"/>
      <c r="AG1306" s="63" t="s">
        <v>938</v>
      </c>
      <c r="AH1306" s="23" t="s">
        <v>939</v>
      </c>
      <c r="AI1306" s="60"/>
      <c r="AJ1306" s="133" t="s">
        <v>1608</v>
      </c>
      <c r="AK1306" s="73" t="s">
        <v>1155</v>
      </c>
      <c r="AL1306" s="3"/>
      <c r="AM1306" s="4"/>
      <c r="AN1306" s="5"/>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6"/>
      <c r="CO1306" s="7"/>
      <c r="CP1306" s="6"/>
      <c r="CQ1306" s="7"/>
      <c r="CR1306" s="6"/>
      <c r="CS1306" s="7"/>
      <c r="CT1306" s="8">
        <f t="shared" si="327"/>
        <v>0</v>
      </c>
      <c r="CU1306" s="9"/>
      <c r="CV1306" s="10"/>
      <c r="CW1306" s="11"/>
      <c r="CX1306" s="12"/>
      <c r="CY1306" s="26"/>
      <c r="CZ1306" s="12"/>
      <c r="DA1306" s="9"/>
      <c r="DB1306" s="10"/>
      <c r="DC1306" s="64"/>
      <c r="DD1306" s="22"/>
    </row>
    <row r="1307" spans="1:108" s="119" customFormat="1" ht="22.5" outlineLevel="2">
      <c r="A1307" s="178">
        <v>40360</v>
      </c>
      <c r="B1307" s="82" t="s">
        <v>582</v>
      </c>
      <c r="C1307" s="82" t="s">
        <v>1766</v>
      </c>
      <c r="D1307" s="165" t="s">
        <v>435</v>
      </c>
      <c r="E1307" s="167"/>
      <c r="F1307" s="66"/>
      <c r="G1307" s="66"/>
      <c r="H1307" s="66">
        <v>105</v>
      </c>
      <c r="I1307" s="66">
        <v>21</v>
      </c>
      <c r="J1307" s="66"/>
      <c r="K1307" s="66"/>
      <c r="L1307" s="66"/>
      <c r="M1307" s="66"/>
      <c r="N1307" s="66"/>
      <c r="O1307" s="66"/>
      <c r="P1307" s="66"/>
      <c r="Q1307" s="66"/>
      <c r="R1307" s="66"/>
      <c r="S1307" s="66"/>
      <c r="T1307" s="67"/>
      <c r="U1307" s="151"/>
      <c r="V1307" s="1"/>
      <c r="W1307" s="68">
        <f t="shared" si="322"/>
        <v>0</v>
      </c>
      <c r="X1307" s="68">
        <f t="shared" si="323"/>
        <v>0</v>
      </c>
      <c r="Y1307" s="68">
        <f t="shared" si="324"/>
        <v>0</v>
      </c>
      <c r="Z1307" s="68">
        <f t="shared" si="325"/>
        <v>0</v>
      </c>
      <c r="AA1307" s="68"/>
      <c r="AB1307" s="68">
        <v>0</v>
      </c>
      <c r="AC1307" s="69">
        <f t="shared" si="326"/>
        <v>0</v>
      </c>
      <c r="AD1307" s="70">
        <v>0</v>
      </c>
      <c r="AE1307" s="63">
        <v>40367</v>
      </c>
      <c r="AF1307" s="72">
        <v>38854</v>
      </c>
      <c r="AG1307" s="63" t="s">
        <v>954</v>
      </c>
      <c r="AH1307" s="23" t="s">
        <v>955</v>
      </c>
      <c r="AI1307" s="60"/>
      <c r="AJ1307" s="157" t="s">
        <v>1543</v>
      </c>
      <c r="AK1307" s="73"/>
      <c r="AL1307" s="3"/>
      <c r="AM1307" s="4"/>
      <c r="AN1307" s="5"/>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6"/>
      <c r="CO1307" s="7"/>
      <c r="CP1307" s="6"/>
      <c r="CQ1307" s="7"/>
      <c r="CR1307" s="6"/>
      <c r="CS1307" s="7"/>
      <c r="CT1307" s="8">
        <f t="shared" si="327"/>
        <v>0</v>
      </c>
      <c r="CU1307" s="9"/>
      <c r="CV1307" s="10"/>
      <c r="CW1307" s="11"/>
      <c r="CX1307" s="12"/>
      <c r="CY1307" s="26"/>
      <c r="CZ1307" s="12"/>
      <c r="DA1307" s="9"/>
      <c r="DB1307" s="10"/>
      <c r="DC1307" s="64"/>
      <c r="DD1307" s="22">
        <v>1140</v>
      </c>
    </row>
    <row r="1308" spans="1:108" s="119" customFormat="1" ht="22.5" outlineLevel="2">
      <c r="A1308" s="178">
        <v>40369</v>
      </c>
      <c r="B1308" s="82" t="s">
        <v>582</v>
      </c>
      <c r="C1308" s="82" t="s">
        <v>2042</v>
      </c>
      <c r="D1308" s="165" t="s">
        <v>435</v>
      </c>
      <c r="E1308" s="167"/>
      <c r="F1308" s="66"/>
      <c r="G1308" s="66"/>
      <c r="H1308" s="66">
        <v>1500</v>
      </c>
      <c r="I1308" s="66">
        <v>300</v>
      </c>
      <c r="J1308" s="66">
        <v>10</v>
      </c>
      <c r="K1308" s="66">
        <v>30</v>
      </c>
      <c r="L1308" s="66">
        <v>3</v>
      </c>
      <c r="M1308" s="66"/>
      <c r="N1308" s="66"/>
      <c r="O1308" s="66">
        <v>2</v>
      </c>
      <c r="P1308" s="66"/>
      <c r="Q1308" s="66"/>
      <c r="R1308" s="66"/>
      <c r="S1308" s="66"/>
      <c r="T1308" s="67"/>
      <c r="U1308" s="151"/>
      <c r="V1308" s="1"/>
      <c r="W1308" s="68">
        <f t="shared" si="322"/>
        <v>0</v>
      </c>
      <c r="X1308" s="68">
        <f t="shared" si="323"/>
        <v>0</v>
      </c>
      <c r="Y1308" s="68">
        <f t="shared" si="324"/>
        <v>0</v>
      </c>
      <c r="Z1308" s="68">
        <f t="shared" si="325"/>
        <v>0</v>
      </c>
      <c r="AA1308" s="68"/>
      <c r="AB1308" s="68">
        <v>0</v>
      </c>
      <c r="AC1308" s="69">
        <f t="shared" si="326"/>
        <v>0</v>
      </c>
      <c r="AD1308" s="70">
        <v>0</v>
      </c>
      <c r="AE1308" s="63">
        <v>40399</v>
      </c>
      <c r="AF1308" s="72">
        <v>39494</v>
      </c>
      <c r="AG1308" s="63" t="s">
        <v>954</v>
      </c>
      <c r="AH1308" s="23" t="s">
        <v>955</v>
      </c>
      <c r="AI1308" s="60"/>
      <c r="AJ1308" s="157" t="s">
        <v>1543</v>
      </c>
      <c r="AK1308" s="73" t="s">
        <v>1960</v>
      </c>
      <c r="AL1308" s="3"/>
      <c r="AM1308" s="4"/>
      <c r="AN1308" s="5"/>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6"/>
      <c r="CO1308" s="7"/>
      <c r="CP1308" s="6"/>
      <c r="CQ1308" s="7"/>
      <c r="CR1308" s="6"/>
      <c r="CS1308" s="7"/>
      <c r="CT1308" s="8">
        <f t="shared" si="327"/>
        <v>0</v>
      </c>
      <c r="CU1308" s="9"/>
      <c r="CV1308" s="10"/>
      <c r="CW1308" s="11"/>
      <c r="CX1308" s="12"/>
      <c r="CY1308" s="26"/>
      <c r="CZ1308" s="12"/>
      <c r="DA1308" s="9"/>
      <c r="DB1308" s="10"/>
      <c r="DC1308" s="64"/>
      <c r="DD1308" s="22"/>
    </row>
    <row r="1309" spans="1:108" s="119" customFormat="1" ht="22.5" outlineLevel="2">
      <c r="A1309" s="178">
        <v>40369</v>
      </c>
      <c r="B1309" s="82" t="s">
        <v>582</v>
      </c>
      <c r="C1309" s="82" t="s">
        <v>2043</v>
      </c>
      <c r="D1309" s="165" t="s">
        <v>435</v>
      </c>
      <c r="E1309" s="167"/>
      <c r="F1309" s="66"/>
      <c r="G1309" s="66"/>
      <c r="H1309" s="66">
        <v>150</v>
      </c>
      <c r="I1309" s="66">
        <v>30</v>
      </c>
      <c r="J1309" s="66"/>
      <c r="K1309" s="66">
        <v>8</v>
      </c>
      <c r="L1309" s="66"/>
      <c r="M1309" s="66"/>
      <c r="N1309" s="66"/>
      <c r="O1309" s="66"/>
      <c r="P1309" s="66"/>
      <c r="Q1309" s="66"/>
      <c r="R1309" s="66"/>
      <c r="S1309" s="66"/>
      <c r="T1309" s="67"/>
      <c r="U1309" s="151"/>
      <c r="V1309" s="1"/>
      <c r="W1309" s="68">
        <f t="shared" si="322"/>
        <v>0</v>
      </c>
      <c r="X1309" s="68">
        <f t="shared" si="323"/>
        <v>0</v>
      </c>
      <c r="Y1309" s="68">
        <f t="shared" si="324"/>
        <v>0</v>
      </c>
      <c r="Z1309" s="68">
        <f t="shared" si="325"/>
        <v>0</v>
      </c>
      <c r="AA1309" s="68"/>
      <c r="AB1309" s="68">
        <v>0</v>
      </c>
      <c r="AC1309" s="69">
        <f t="shared" si="326"/>
        <v>0</v>
      </c>
      <c r="AD1309" s="70">
        <v>0</v>
      </c>
      <c r="AE1309" s="63">
        <v>40399</v>
      </c>
      <c r="AF1309" s="72">
        <v>39494</v>
      </c>
      <c r="AG1309" s="63" t="s">
        <v>954</v>
      </c>
      <c r="AH1309" s="23" t="s">
        <v>955</v>
      </c>
      <c r="AI1309" s="60"/>
      <c r="AJ1309" s="157" t="s">
        <v>1543</v>
      </c>
      <c r="AK1309" s="73" t="s">
        <v>1960</v>
      </c>
      <c r="AL1309" s="3"/>
      <c r="AM1309" s="4"/>
      <c r="AN1309" s="5"/>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6"/>
      <c r="CO1309" s="7"/>
      <c r="CP1309" s="6"/>
      <c r="CQ1309" s="7"/>
      <c r="CR1309" s="6"/>
      <c r="CS1309" s="7"/>
      <c r="CT1309" s="8">
        <f t="shared" si="327"/>
        <v>0</v>
      </c>
      <c r="CU1309" s="9"/>
      <c r="CV1309" s="10"/>
      <c r="CW1309" s="11"/>
      <c r="CX1309" s="12"/>
      <c r="CY1309" s="26"/>
      <c r="CZ1309" s="12"/>
      <c r="DA1309" s="9"/>
      <c r="DB1309" s="10"/>
      <c r="DC1309" s="64"/>
      <c r="DD1309" s="22"/>
    </row>
    <row r="1310" spans="1:108" s="119" customFormat="1" ht="24" outlineLevel="2">
      <c r="A1310" s="178">
        <v>40369</v>
      </c>
      <c r="B1310" s="82" t="s">
        <v>582</v>
      </c>
      <c r="C1310" s="82" t="s">
        <v>1468</v>
      </c>
      <c r="D1310" s="165" t="s">
        <v>435</v>
      </c>
      <c r="E1310" s="167"/>
      <c r="F1310" s="66"/>
      <c r="G1310" s="66"/>
      <c r="H1310" s="66">
        <f>37*5</f>
        <v>185</v>
      </c>
      <c r="I1310" s="66">
        <v>37</v>
      </c>
      <c r="J1310" s="66"/>
      <c r="K1310" s="66"/>
      <c r="L1310" s="66"/>
      <c r="M1310" s="66"/>
      <c r="N1310" s="66"/>
      <c r="O1310" s="66"/>
      <c r="P1310" s="66"/>
      <c r="Q1310" s="66"/>
      <c r="R1310" s="66"/>
      <c r="S1310" s="66"/>
      <c r="T1310" s="67"/>
      <c r="U1310" s="151"/>
      <c r="V1310" s="1"/>
      <c r="W1310" s="68">
        <f t="shared" ref="W1310:W1341" si="328">CT1310</f>
        <v>0</v>
      </c>
      <c r="X1310" s="68">
        <f t="shared" ref="X1310:X1341" si="329">CX1310</f>
        <v>0</v>
      </c>
      <c r="Y1310" s="68">
        <f t="shared" ref="Y1310:Y1341" si="330">CZ1310+DB1310</f>
        <v>0</v>
      </c>
      <c r="Z1310" s="68">
        <f t="shared" ref="Z1310:Z1341" si="331">CV1310</f>
        <v>0</v>
      </c>
      <c r="AA1310" s="68"/>
      <c r="AB1310" s="68">
        <v>0</v>
      </c>
      <c r="AC1310" s="69">
        <f t="shared" ref="AC1310:AC1341" si="332">W1310+X1310+Y1310+Z1310+AA1310+AB1310</f>
        <v>0</v>
      </c>
      <c r="AD1310" s="70">
        <v>0</v>
      </c>
      <c r="AE1310" s="63">
        <v>40399</v>
      </c>
      <c r="AF1310" s="72">
        <v>39494</v>
      </c>
      <c r="AG1310" s="63" t="s">
        <v>954</v>
      </c>
      <c r="AH1310" s="23" t="s">
        <v>955</v>
      </c>
      <c r="AI1310" s="60"/>
      <c r="AJ1310" s="157" t="s">
        <v>1543</v>
      </c>
      <c r="AK1310" s="73" t="s">
        <v>1469</v>
      </c>
      <c r="AL1310" s="3"/>
      <c r="AM1310" s="4"/>
      <c r="AN1310" s="5"/>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6"/>
      <c r="CO1310" s="7"/>
      <c r="CP1310" s="6"/>
      <c r="CQ1310" s="7"/>
      <c r="CR1310" s="6"/>
      <c r="CS1310" s="7"/>
      <c r="CT1310" s="8">
        <f t="shared" ref="CT1310:CT1341" si="333">AM1310+AO1310+AQ1310+AS1310+AU1310+AW1310+AY1310+BA1310+BC1310+BE1310+BG1310+BI1310+BK1310+BM1310+BO1310+BQ1310+BS1310+BU1310+BW1310+BY1310+CA1310+CC1310+CE1310+CG1310+CI1310+CK1310+CM1310+CO1310+CQ1310+CS1310</f>
        <v>0</v>
      </c>
      <c r="CU1310" s="9"/>
      <c r="CV1310" s="10"/>
      <c r="CW1310" s="11"/>
      <c r="CX1310" s="12"/>
      <c r="CY1310" s="26"/>
      <c r="CZ1310" s="12"/>
      <c r="DA1310" s="9"/>
      <c r="DB1310" s="10"/>
      <c r="DC1310" s="64"/>
      <c r="DD1310" s="22"/>
    </row>
    <row r="1311" spans="1:108" s="119" customFormat="1" ht="48" outlineLevel="2">
      <c r="A1311" s="178">
        <v>40376</v>
      </c>
      <c r="B1311" s="82" t="s">
        <v>582</v>
      </c>
      <c r="C1311" s="82" t="s">
        <v>1086</v>
      </c>
      <c r="D1311" s="165" t="s">
        <v>1262</v>
      </c>
      <c r="E1311" s="167">
        <v>3</v>
      </c>
      <c r="F1311" s="66">
        <v>2</v>
      </c>
      <c r="G1311" s="66"/>
      <c r="H1311" s="66"/>
      <c r="I1311" s="66"/>
      <c r="J1311" s="66"/>
      <c r="K1311" s="66"/>
      <c r="L1311" s="66"/>
      <c r="M1311" s="66"/>
      <c r="N1311" s="66"/>
      <c r="O1311" s="66"/>
      <c r="P1311" s="66"/>
      <c r="Q1311" s="66"/>
      <c r="R1311" s="66"/>
      <c r="S1311" s="66"/>
      <c r="T1311" s="67"/>
      <c r="U1311" s="151"/>
      <c r="V1311" s="1"/>
      <c r="W1311" s="68">
        <f t="shared" si="328"/>
        <v>0</v>
      </c>
      <c r="X1311" s="68">
        <f t="shared" si="329"/>
        <v>0</v>
      </c>
      <c r="Y1311" s="68">
        <f t="shared" si="330"/>
        <v>0</v>
      </c>
      <c r="Z1311" s="68">
        <f t="shared" si="331"/>
        <v>0</v>
      </c>
      <c r="AA1311" s="68"/>
      <c r="AB1311" s="68">
        <v>0</v>
      </c>
      <c r="AC1311" s="69">
        <f t="shared" si="332"/>
        <v>0</v>
      </c>
      <c r="AD1311" s="70">
        <v>0</v>
      </c>
      <c r="AE1311" s="63">
        <v>40377</v>
      </c>
      <c r="AF1311" s="72"/>
      <c r="AG1311" s="63" t="s">
        <v>938</v>
      </c>
      <c r="AH1311" s="23" t="s">
        <v>939</v>
      </c>
      <c r="AI1311" s="60"/>
      <c r="AJ1311" s="133" t="s">
        <v>1608</v>
      </c>
      <c r="AK1311" s="73" t="s">
        <v>2367</v>
      </c>
      <c r="AL1311" s="3"/>
      <c r="AM1311" s="4"/>
      <c r="AN1311" s="5"/>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6"/>
      <c r="CO1311" s="7"/>
      <c r="CP1311" s="6"/>
      <c r="CQ1311" s="7"/>
      <c r="CR1311" s="6"/>
      <c r="CS1311" s="7"/>
      <c r="CT1311" s="8">
        <f t="shared" si="333"/>
        <v>0</v>
      </c>
      <c r="CU1311" s="9"/>
      <c r="CV1311" s="10"/>
      <c r="CW1311" s="11"/>
      <c r="CX1311" s="12"/>
      <c r="CY1311" s="26"/>
      <c r="CZ1311" s="12"/>
      <c r="DA1311" s="9"/>
      <c r="DB1311" s="10"/>
      <c r="DC1311" s="64"/>
      <c r="DD1311" s="22"/>
    </row>
    <row r="1312" spans="1:108" s="119" customFormat="1" ht="36" outlineLevel="2">
      <c r="A1312" s="178">
        <v>40377</v>
      </c>
      <c r="B1312" s="82" t="s">
        <v>582</v>
      </c>
      <c r="C1312" s="82" t="s">
        <v>614</v>
      </c>
      <c r="D1312" s="165" t="s">
        <v>1262</v>
      </c>
      <c r="E1312" s="167"/>
      <c r="F1312" s="66"/>
      <c r="G1312" s="66"/>
      <c r="H1312" s="66">
        <v>42</v>
      </c>
      <c r="I1312" s="66">
        <v>13</v>
      </c>
      <c r="J1312" s="66"/>
      <c r="K1312" s="66"/>
      <c r="L1312" s="66"/>
      <c r="M1312" s="66"/>
      <c r="N1312" s="66"/>
      <c r="O1312" s="66"/>
      <c r="P1312" s="66"/>
      <c r="Q1312" s="66"/>
      <c r="R1312" s="66"/>
      <c r="S1312" s="66"/>
      <c r="T1312" s="67"/>
      <c r="U1312" s="151"/>
      <c r="V1312" s="1"/>
      <c r="W1312" s="68">
        <f t="shared" si="328"/>
        <v>0</v>
      </c>
      <c r="X1312" s="68">
        <f t="shared" si="329"/>
        <v>0</v>
      </c>
      <c r="Y1312" s="68">
        <f t="shared" si="330"/>
        <v>0</v>
      </c>
      <c r="Z1312" s="68">
        <f t="shared" si="331"/>
        <v>0</v>
      </c>
      <c r="AA1312" s="68"/>
      <c r="AB1312" s="68">
        <v>0</v>
      </c>
      <c r="AC1312" s="69">
        <f t="shared" si="332"/>
        <v>0</v>
      </c>
      <c r="AD1312" s="70">
        <v>0</v>
      </c>
      <c r="AE1312" s="63">
        <v>40379</v>
      </c>
      <c r="AF1312" s="72"/>
      <c r="AG1312" s="63" t="s">
        <v>954</v>
      </c>
      <c r="AH1312" s="23" t="s">
        <v>955</v>
      </c>
      <c r="AI1312" s="60"/>
      <c r="AJ1312" s="157" t="s">
        <v>1543</v>
      </c>
      <c r="AK1312" s="73" t="s">
        <v>1055</v>
      </c>
      <c r="AL1312" s="3"/>
      <c r="AM1312" s="4"/>
      <c r="AN1312" s="5"/>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6"/>
      <c r="CO1312" s="7"/>
      <c r="CP1312" s="6"/>
      <c r="CQ1312" s="7"/>
      <c r="CR1312" s="6"/>
      <c r="CS1312" s="7"/>
      <c r="CT1312" s="8">
        <f t="shared" si="333"/>
        <v>0</v>
      </c>
      <c r="CU1312" s="9"/>
      <c r="CV1312" s="10"/>
      <c r="CW1312" s="11"/>
      <c r="CX1312" s="12"/>
      <c r="CY1312" s="26"/>
      <c r="CZ1312" s="12"/>
      <c r="DA1312" s="9"/>
      <c r="DB1312" s="10"/>
      <c r="DC1312" s="64"/>
      <c r="DD1312" s="22"/>
    </row>
    <row r="1313" spans="1:108" s="119" customFormat="1" ht="36" outlineLevel="2">
      <c r="A1313" s="178">
        <v>40378</v>
      </c>
      <c r="B1313" s="82" t="s">
        <v>582</v>
      </c>
      <c r="C1313" s="82" t="s">
        <v>1766</v>
      </c>
      <c r="D1313" s="165" t="s">
        <v>1262</v>
      </c>
      <c r="E1313" s="167"/>
      <c r="F1313" s="66"/>
      <c r="G1313" s="66"/>
      <c r="H1313" s="66">
        <f>300*5</f>
        <v>1500</v>
      </c>
      <c r="I1313" s="66">
        <v>300</v>
      </c>
      <c r="J1313" s="66"/>
      <c r="K1313" s="66"/>
      <c r="L1313" s="66"/>
      <c r="M1313" s="66"/>
      <c r="N1313" s="66"/>
      <c r="O1313" s="66"/>
      <c r="P1313" s="66"/>
      <c r="Q1313" s="66"/>
      <c r="R1313" s="66"/>
      <c r="S1313" s="66"/>
      <c r="T1313" s="67"/>
      <c r="U1313" s="151" t="s">
        <v>414</v>
      </c>
      <c r="V1313" s="1"/>
      <c r="W1313" s="68">
        <f t="shared" si="328"/>
        <v>0</v>
      </c>
      <c r="X1313" s="68">
        <f t="shared" si="329"/>
        <v>0</v>
      </c>
      <c r="Y1313" s="68">
        <f t="shared" si="330"/>
        <v>0</v>
      </c>
      <c r="Z1313" s="68">
        <f t="shared" si="331"/>
        <v>0</v>
      </c>
      <c r="AA1313" s="68"/>
      <c r="AB1313" s="68">
        <v>0</v>
      </c>
      <c r="AC1313" s="69">
        <f t="shared" si="332"/>
        <v>0</v>
      </c>
      <c r="AD1313" s="70">
        <v>0</v>
      </c>
      <c r="AE1313" s="63">
        <v>40379</v>
      </c>
      <c r="AF1313" s="72">
        <v>38584</v>
      </c>
      <c r="AG1313" s="63" t="s">
        <v>954</v>
      </c>
      <c r="AH1313" s="23" t="s">
        <v>955</v>
      </c>
      <c r="AI1313" s="60"/>
      <c r="AJ1313" s="157" t="s">
        <v>1551</v>
      </c>
      <c r="AK1313" s="73" t="s">
        <v>1056</v>
      </c>
      <c r="AL1313" s="3"/>
      <c r="AM1313" s="4"/>
      <c r="AN1313" s="5"/>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6"/>
      <c r="CO1313" s="7"/>
      <c r="CP1313" s="6"/>
      <c r="CQ1313" s="7"/>
      <c r="CR1313" s="6"/>
      <c r="CS1313" s="7"/>
      <c r="CT1313" s="8">
        <f t="shared" si="333"/>
        <v>0</v>
      </c>
      <c r="CU1313" s="9"/>
      <c r="CV1313" s="10"/>
      <c r="CW1313" s="11"/>
      <c r="CX1313" s="12"/>
      <c r="CY1313" s="26"/>
      <c r="CZ1313" s="12"/>
      <c r="DA1313" s="9"/>
      <c r="DB1313" s="10"/>
      <c r="DC1313" s="64"/>
      <c r="DD1313" s="22"/>
    </row>
    <row r="1314" spans="1:108" s="119" customFormat="1" ht="33.75" outlineLevel="2">
      <c r="A1314" s="178">
        <v>40378</v>
      </c>
      <c r="B1314" s="82" t="s">
        <v>582</v>
      </c>
      <c r="C1314" s="82" t="s">
        <v>953</v>
      </c>
      <c r="D1314" s="165" t="s">
        <v>1262</v>
      </c>
      <c r="E1314" s="167"/>
      <c r="F1314" s="66"/>
      <c r="G1314" s="66"/>
      <c r="H1314" s="66"/>
      <c r="I1314" s="66"/>
      <c r="J1314" s="66"/>
      <c r="K1314" s="66"/>
      <c r="L1314" s="66"/>
      <c r="M1314" s="66"/>
      <c r="N1314" s="66"/>
      <c r="O1314" s="66"/>
      <c r="P1314" s="66"/>
      <c r="Q1314" s="66"/>
      <c r="R1314" s="66"/>
      <c r="S1314" s="66"/>
      <c r="T1314" s="67"/>
      <c r="U1314" s="151"/>
      <c r="V1314" s="1">
        <v>40396</v>
      </c>
      <c r="W1314" s="68">
        <f t="shared" si="328"/>
        <v>0</v>
      </c>
      <c r="X1314" s="68">
        <f t="shared" si="329"/>
        <v>0</v>
      </c>
      <c r="Y1314" s="68">
        <f t="shared" si="330"/>
        <v>0</v>
      </c>
      <c r="Z1314" s="68">
        <f t="shared" si="331"/>
        <v>49300000</v>
      </c>
      <c r="AA1314" s="68"/>
      <c r="AB1314" s="68">
        <v>0</v>
      </c>
      <c r="AC1314" s="69">
        <f t="shared" si="332"/>
        <v>49300000</v>
      </c>
      <c r="AD1314" s="70">
        <v>0</v>
      </c>
      <c r="AE1314" s="63">
        <v>40378</v>
      </c>
      <c r="AF1314" s="72"/>
      <c r="AG1314" s="63" t="s">
        <v>954</v>
      </c>
      <c r="AH1314" s="23" t="s">
        <v>955</v>
      </c>
      <c r="AI1314" s="60">
        <v>229</v>
      </c>
      <c r="AJ1314" s="133" t="s">
        <v>1901</v>
      </c>
      <c r="AK1314" s="73" t="s">
        <v>1902</v>
      </c>
      <c r="AL1314" s="3"/>
      <c r="AM1314" s="4"/>
      <c r="AN1314" s="5"/>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6"/>
      <c r="CO1314" s="7"/>
      <c r="CP1314" s="6"/>
      <c r="CQ1314" s="7"/>
      <c r="CR1314" s="6"/>
      <c r="CS1314" s="7"/>
      <c r="CT1314" s="8">
        <f t="shared" si="333"/>
        <v>0</v>
      </c>
      <c r="CU1314" s="9">
        <v>50000</v>
      </c>
      <c r="CV1314" s="10">
        <f>50000*986</f>
        <v>49300000</v>
      </c>
      <c r="CW1314" s="11"/>
      <c r="CX1314" s="12"/>
      <c r="CY1314" s="26"/>
      <c r="CZ1314" s="12"/>
      <c r="DA1314" s="9"/>
      <c r="DB1314" s="10"/>
      <c r="DC1314" s="64"/>
      <c r="DD1314" s="22"/>
    </row>
    <row r="1315" spans="1:108" s="119" customFormat="1" ht="48" outlineLevel="2">
      <c r="A1315" s="178">
        <v>40378</v>
      </c>
      <c r="B1315" s="82" t="s">
        <v>582</v>
      </c>
      <c r="C1315" s="82" t="s">
        <v>614</v>
      </c>
      <c r="D1315" s="165" t="s">
        <v>1262</v>
      </c>
      <c r="E1315" s="167"/>
      <c r="F1315" s="66"/>
      <c r="G1315" s="66"/>
      <c r="H1315" s="66">
        <v>1250</v>
      </c>
      <c r="I1315" s="66">
        <v>250</v>
      </c>
      <c r="J1315" s="66">
        <v>11</v>
      </c>
      <c r="K1315" s="66"/>
      <c r="L1315" s="66"/>
      <c r="M1315" s="66"/>
      <c r="N1315" s="66"/>
      <c r="O1315" s="66"/>
      <c r="P1315" s="66"/>
      <c r="Q1315" s="66"/>
      <c r="R1315" s="66"/>
      <c r="S1315" s="66"/>
      <c r="T1315" s="67"/>
      <c r="U1315" s="151"/>
      <c r="V1315" s="1"/>
      <c r="W1315" s="68">
        <f t="shared" si="328"/>
        <v>0</v>
      </c>
      <c r="X1315" s="68">
        <f t="shared" si="329"/>
        <v>0</v>
      </c>
      <c r="Y1315" s="68">
        <f t="shared" si="330"/>
        <v>0</v>
      </c>
      <c r="Z1315" s="68">
        <f t="shared" si="331"/>
        <v>0</v>
      </c>
      <c r="AA1315" s="68"/>
      <c r="AB1315" s="68">
        <v>0</v>
      </c>
      <c r="AC1315" s="69">
        <f t="shared" si="332"/>
        <v>0</v>
      </c>
      <c r="AD1315" s="70">
        <v>0</v>
      </c>
      <c r="AE1315" s="63">
        <v>40379</v>
      </c>
      <c r="AF1315" s="72">
        <v>38584</v>
      </c>
      <c r="AG1315" s="63" t="s">
        <v>954</v>
      </c>
      <c r="AH1315" s="23" t="s">
        <v>955</v>
      </c>
      <c r="AI1315" s="60"/>
      <c r="AJ1315" s="157" t="s">
        <v>1551</v>
      </c>
      <c r="AK1315" s="73" t="s">
        <v>1057</v>
      </c>
      <c r="AL1315" s="3"/>
      <c r="AM1315" s="4"/>
      <c r="AN1315" s="5"/>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6"/>
      <c r="CO1315" s="7"/>
      <c r="CP1315" s="6"/>
      <c r="CQ1315" s="7"/>
      <c r="CR1315" s="6"/>
      <c r="CS1315" s="7"/>
      <c r="CT1315" s="8">
        <f t="shared" si="333"/>
        <v>0</v>
      </c>
      <c r="CU1315" s="9"/>
      <c r="CV1315" s="10"/>
      <c r="CW1315" s="11"/>
      <c r="CX1315" s="12"/>
      <c r="CY1315" s="26"/>
      <c r="CZ1315" s="12"/>
      <c r="DA1315" s="9"/>
      <c r="DB1315" s="10"/>
      <c r="DC1315" s="64"/>
      <c r="DD1315" s="22"/>
    </row>
    <row r="1316" spans="1:108" s="119" customFormat="1" ht="48" outlineLevel="2">
      <c r="A1316" s="178">
        <v>40389</v>
      </c>
      <c r="B1316" s="82" t="s">
        <v>582</v>
      </c>
      <c r="C1316" s="82" t="s">
        <v>1618</v>
      </c>
      <c r="D1316" s="165" t="s">
        <v>1262</v>
      </c>
      <c r="E1316" s="167"/>
      <c r="F1316" s="66"/>
      <c r="G1316" s="66"/>
      <c r="H1316" s="66">
        <v>98</v>
      </c>
      <c r="I1316" s="66">
        <v>18</v>
      </c>
      <c r="J1316" s="66"/>
      <c r="K1316" s="66">
        <v>18</v>
      </c>
      <c r="L1316" s="66"/>
      <c r="M1316" s="66">
        <v>1</v>
      </c>
      <c r="N1316" s="66"/>
      <c r="O1316" s="66"/>
      <c r="P1316" s="66"/>
      <c r="Q1316" s="66"/>
      <c r="R1316" s="66"/>
      <c r="S1316" s="66">
        <v>1</v>
      </c>
      <c r="T1316" s="67"/>
      <c r="U1316" s="151"/>
      <c r="V1316" s="1"/>
      <c r="W1316" s="68">
        <f t="shared" si="328"/>
        <v>0</v>
      </c>
      <c r="X1316" s="68">
        <f t="shared" si="329"/>
        <v>0</v>
      </c>
      <c r="Y1316" s="68">
        <f t="shared" si="330"/>
        <v>0</v>
      </c>
      <c r="Z1316" s="68">
        <f t="shared" si="331"/>
        <v>0</v>
      </c>
      <c r="AA1316" s="68"/>
      <c r="AB1316" s="68">
        <v>0</v>
      </c>
      <c r="AC1316" s="69">
        <f t="shared" si="332"/>
        <v>0</v>
      </c>
      <c r="AD1316" s="70">
        <v>0</v>
      </c>
      <c r="AE1316" s="63">
        <v>40392</v>
      </c>
      <c r="AF1316" s="72">
        <v>38584</v>
      </c>
      <c r="AG1316" s="63" t="s">
        <v>954</v>
      </c>
      <c r="AH1316" s="23" t="s">
        <v>955</v>
      </c>
      <c r="AI1316" s="60"/>
      <c r="AJ1316" s="157" t="s">
        <v>1543</v>
      </c>
      <c r="AK1316" s="73" t="s">
        <v>1976</v>
      </c>
      <c r="AL1316" s="3"/>
      <c r="AM1316" s="4"/>
      <c r="AN1316" s="5"/>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6"/>
      <c r="CO1316" s="7"/>
      <c r="CP1316" s="6"/>
      <c r="CQ1316" s="7"/>
      <c r="CR1316" s="6"/>
      <c r="CS1316" s="7"/>
      <c r="CT1316" s="8">
        <f t="shared" si="333"/>
        <v>0</v>
      </c>
      <c r="CU1316" s="9"/>
      <c r="CV1316" s="10"/>
      <c r="CW1316" s="11"/>
      <c r="CX1316" s="12"/>
      <c r="CY1316" s="26"/>
      <c r="CZ1316" s="12"/>
      <c r="DA1316" s="9"/>
      <c r="DB1316" s="10"/>
      <c r="DC1316" s="64"/>
      <c r="DD1316" s="22"/>
    </row>
    <row r="1317" spans="1:108" s="119" customFormat="1" ht="60" outlineLevel="2">
      <c r="A1317" s="178">
        <v>40401</v>
      </c>
      <c r="B1317" s="174" t="s">
        <v>582</v>
      </c>
      <c r="C1317" s="174" t="s">
        <v>953</v>
      </c>
      <c r="D1317" s="179" t="s">
        <v>1262</v>
      </c>
      <c r="E1317" s="163"/>
      <c r="F1317" s="105"/>
      <c r="G1317" s="105"/>
      <c r="H1317" s="105"/>
      <c r="I1317" s="105"/>
      <c r="J1317" s="105"/>
      <c r="K1317" s="105"/>
      <c r="L1317" s="105"/>
      <c r="M1317" s="105"/>
      <c r="N1317" s="105"/>
      <c r="O1317" s="105"/>
      <c r="P1317" s="105"/>
      <c r="Q1317" s="105"/>
      <c r="R1317" s="105"/>
      <c r="S1317" s="105"/>
      <c r="T1317" s="106"/>
      <c r="U1317" s="130"/>
      <c r="V1317" s="1">
        <v>40424</v>
      </c>
      <c r="W1317" s="68">
        <f t="shared" si="328"/>
        <v>117658887</v>
      </c>
      <c r="X1317" s="68">
        <f t="shared" si="329"/>
        <v>135150000</v>
      </c>
      <c r="Y1317" s="68">
        <f t="shared" si="330"/>
        <v>0</v>
      </c>
      <c r="Z1317" s="68">
        <f t="shared" si="331"/>
        <v>45008000</v>
      </c>
      <c r="AA1317" s="68"/>
      <c r="AB1317" s="68">
        <v>0</v>
      </c>
      <c r="AC1317" s="69">
        <f t="shared" si="332"/>
        <v>297816887</v>
      </c>
      <c r="AD1317" s="70">
        <v>0</v>
      </c>
      <c r="AE1317" s="63">
        <v>40401</v>
      </c>
      <c r="AF1317" s="72">
        <v>38584</v>
      </c>
      <c r="AG1317" s="63" t="s">
        <v>954</v>
      </c>
      <c r="AH1317" s="23" t="s">
        <v>955</v>
      </c>
      <c r="AI1317" s="75" t="s">
        <v>1340</v>
      </c>
      <c r="AJ1317" s="124" t="s">
        <v>2238</v>
      </c>
      <c r="AK1317" s="125" t="s">
        <v>2237</v>
      </c>
      <c r="AL1317" s="107"/>
      <c r="AM1317" s="108"/>
      <c r="AN1317" s="109"/>
      <c r="AO1317" s="108"/>
      <c r="AP1317" s="108"/>
      <c r="AQ1317" s="108"/>
      <c r="AR1317" s="108"/>
      <c r="AS1317" s="108"/>
      <c r="AT1317" s="108"/>
      <c r="AU1317" s="108"/>
      <c r="AV1317" s="108"/>
      <c r="AW1317" s="108"/>
      <c r="AX1317" s="108"/>
      <c r="AY1317" s="108"/>
      <c r="AZ1317" s="108"/>
      <c r="BA1317" s="108"/>
      <c r="BB1317" s="108"/>
      <c r="BC1317" s="108"/>
      <c r="BD1317" s="108"/>
      <c r="BE1317" s="108"/>
      <c r="BF1317" s="108"/>
      <c r="BG1317" s="108"/>
      <c r="BH1317" s="108"/>
      <c r="BI1317" s="108"/>
      <c r="BJ1317" s="108"/>
      <c r="BK1317" s="108"/>
      <c r="BL1317" s="108"/>
      <c r="BM1317" s="108"/>
      <c r="BN1317" s="108"/>
      <c r="BO1317" s="108"/>
      <c r="BP1317" s="108"/>
      <c r="BQ1317" s="108"/>
      <c r="BR1317" s="108"/>
      <c r="BS1317" s="108"/>
      <c r="BT1317" s="108"/>
      <c r="BU1317" s="108"/>
      <c r="BV1317" s="108"/>
      <c r="BW1317" s="108"/>
      <c r="BX1317" s="108"/>
      <c r="BY1317" s="108"/>
      <c r="BZ1317" s="108"/>
      <c r="CA1317" s="108"/>
      <c r="CB1317" s="108"/>
      <c r="CC1317" s="108"/>
      <c r="CD1317" s="108"/>
      <c r="CE1317" s="108"/>
      <c r="CF1317" s="108"/>
      <c r="CG1317" s="108"/>
      <c r="CH1317" s="108"/>
      <c r="CI1317" s="108"/>
      <c r="CJ1317" s="108"/>
      <c r="CK1317" s="108"/>
      <c r="CL1317" s="108"/>
      <c r="CM1317" s="108"/>
      <c r="CN1317" s="110">
        <v>1590</v>
      </c>
      <c r="CO1317" s="111">
        <f>1590*37999.86</f>
        <v>60419777.399999999</v>
      </c>
      <c r="CP1317" s="110">
        <v>1590</v>
      </c>
      <c r="CQ1317" s="111">
        <f>1590*35999.44</f>
        <v>57239109.600000001</v>
      </c>
      <c r="CR1317" s="110"/>
      <c r="CS1317" s="111"/>
      <c r="CT1317" s="112">
        <f t="shared" si="333"/>
        <v>117658887</v>
      </c>
      <c r="CU1317" s="113">
        <v>50000</v>
      </c>
      <c r="CV1317" s="114">
        <f>50000*900.16</f>
        <v>45008000</v>
      </c>
      <c r="CW1317" s="115">
        <v>1590</v>
      </c>
      <c r="CX1317" s="116">
        <f>1590*85000</f>
        <v>135150000</v>
      </c>
      <c r="CY1317" s="117"/>
      <c r="CZ1317" s="116"/>
      <c r="DA1317" s="113"/>
      <c r="DB1317" s="114"/>
      <c r="DC1317" s="64"/>
      <c r="DD1317" s="118"/>
    </row>
    <row r="1318" spans="1:108" s="119" customFormat="1" ht="24" outlineLevel="2">
      <c r="A1318" s="178">
        <v>40415</v>
      </c>
      <c r="B1318" s="174" t="s">
        <v>582</v>
      </c>
      <c r="C1318" s="174" t="s">
        <v>1712</v>
      </c>
      <c r="D1318" s="165" t="s">
        <v>1182</v>
      </c>
      <c r="E1318" s="163"/>
      <c r="F1318" s="105">
        <v>2</v>
      </c>
      <c r="G1318" s="105"/>
      <c r="H1318" s="105">
        <v>75</v>
      </c>
      <c r="I1318" s="105">
        <v>15</v>
      </c>
      <c r="J1318" s="105"/>
      <c r="K1318" s="105">
        <v>15</v>
      </c>
      <c r="L1318" s="105"/>
      <c r="M1318" s="105"/>
      <c r="N1318" s="105"/>
      <c r="O1318" s="105"/>
      <c r="P1318" s="105"/>
      <c r="Q1318" s="105"/>
      <c r="R1318" s="105"/>
      <c r="S1318" s="105"/>
      <c r="T1318" s="106"/>
      <c r="U1318" s="130"/>
      <c r="V1318" s="1"/>
      <c r="W1318" s="68">
        <f t="shared" si="328"/>
        <v>0</v>
      </c>
      <c r="X1318" s="68">
        <f t="shared" si="329"/>
        <v>0</v>
      </c>
      <c r="Y1318" s="68">
        <f t="shared" si="330"/>
        <v>0</v>
      </c>
      <c r="Z1318" s="68">
        <f t="shared" si="331"/>
        <v>0</v>
      </c>
      <c r="AA1318" s="68"/>
      <c r="AB1318" s="68">
        <v>0</v>
      </c>
      <c r="AC1318" s="69">
        <f t="shared" si="332"/>
        <v>0</v>
      </c>
      <c r="AD1318" s="70">
        <v>0</v>
      </c>
      <c r="AE1318" s="63">
        <v>40418</v>
      </c>
      <c r="AF1318" s="72"/>
      <c r="AG1318" s="63" t="s">
        <v>954</v>
      </c>
      <c r="AH1318" s="23" t="s">
        <v>955</v>
      </c>
      <c r="AI1318" s="60"/>
      <c r="AJ1318" s="124" t="s">
        <v>842</v>
      </c>
      <c r="AK1318" s="121" t="s">
        <v>2251</v>
      </c>
      <c r="AL1318" s="107"/>
      <c r="AM1318" s="108"/>
      <c r="AN1318" s="109"/>
      <c r="AO1318" s="108"/>
      <c r="AP1318" s="108"/>
      <c r="AQ1318" s="108"/>
      <c r="AR1318" s="108"/>
      <c r="AS1318" s="108"/>
      <c r="AT1318" s="108"/>
      <c r="AU1318" s="108"/>
      <c r="AV1318" s="108"/>
      <c r="AW1318" s="108"/>
      <c r="AX1318" s="108"/>
      <c r="AY1318" s="108"/>
      <c r="AZ1318" s="108"/>
      <c r="BA1318" s="108"/>
      <c r="BB1318" s="108"/>
      <c r="BC1318" s="108"/>
      <c r="BD1318" s="108"/>
      <c r="BE1318" s="108"/>
      <c r="BF1318" s="108"/>
      <c r="BG1318" s="108"/>
      <c r="BH1318" s="108"/>
      <c r="BI1318" s="108"/>
      <c r="BJ1318" s="108"/>
      <c r="BK1318" s="108"/>
      <c r="BL1318" s="108"/>
      <c r="BM1318" s="108"/>
      <c r="BN1318" s="108"/>
      <c r="BO1318" s="108"/>
      <c r="BP1318" s="108"/>
      <c r="BQ1318" s="108"/>
      <c r="BR1318" s="108"/>
      <c r="BS1318" s="108"/>
      <c r="BT1318" s="108"/>
      <c r="BU1318" s="108"/>
      <c r="BV1318" s="108"/>
      <c r="BW1318" s="108"/>
      <c r="BX1318" s="108"/>
      <c r="BY1318" s="108"/>
      <c r="BZ1318" s="108"/>
      <c r="CA1318" s="108"/>
      <c r="CB1318" s="108"/>
      <c r="CC1318" s="108"/>
      <c r="CD1318" s="108"/>
      <c r="CE1318" s="108"/>
      <c r="CF1318" s="108"/>
      <c r="CG1318" s="108"/>
      <c r="CH1318" s="108"/>
      <c r="CI1318" s="108"/>
      <c r="CJ1318" s="108"/>
      <c r="CK1318" s="108"/>
      <c r="CL1318" s="108"/>
      <c r="CM1318" s="108"/>
      <c r="CN1318" s="110"/>
      <c r="CO1318" s="111"/>
      <c r="CP1318" s="110"/>
      <c r="CQ1318" s="111"/>
      <c r="CR1318" s="110"/>
      <c r="CS1318" s="111"/>
      <c r="CT1318" s="112">
        <f t="shared" si="333"/>
        <v>0</v>
      </c>
      <c r="CU1318" s="113"/>
      <c r="CV1318" s="114"/>
      <c r="CW1318" s="115"/>
      <c r="CX1318" s="116"/>
      <c r="CY1318" s="117"/>
      <c r="CZ1318" s="116"/>
      <c r="DA1318" s="113"/>
      <c r="DB1318" s="114"/>
      <c r="DC1318" s="64"/>
      <c r="DD1318" s="118"/>
    </row>
    <row r="1319" spans="1:108" s="119" customFormat="1" ht="36" outlineLevel="2">
      <c r="A1319" s="178">
        <v>40415</v>
      </c>
      <c r="B1319" s="174" t="s">
        <v>582</v>
      </c>
      <c r="C1319" s="174" t="s">
        <v>1087</v>
      </c>
      <c r="D1319" s="165" t="s">
        <v>1182</v>
      </c>
      <c r="E1319" s="163"/>
      <c r="F1319" s="105"/>
      <c r="G1319" s="105"/>
      <c r="H1319" s="105">
        <f>80*5</f>
        <v>400</v>
      </c>
      <c r="I1319" s="105">
        <v>80</v>
      </c>
      <c r="J1319" s="105">
        <v>7</v>
      </c>
      <c r="K1319" s="105">
        <v>20</v>
      </c>
      <c r="L1319" s="105">
        <v>4</v>
      </c>
      <c r="M1319" s="105">
        <v>2</v>
      </c>
      <c r="N1319" s="105"/>
      <c r="O1319" s="105"/>
      <c r="P1319" s="105"/>
      <c r="Q1319" s="105"/>
      <c r="R1319" s="105"/>
      <c r="S1319" s="105"/>
      <c r="T1319" s="106">
        <v>120</v>
      </c>
      <c r="U1319" s="151" t="s">
        <v>414</v>
      </c>
      <c r="V1319" s="1"/>
      <c r="W1319" s="68">
        <f t="shared" si="328"/>
        <v>0</v>
      </c>
      <c r="X1319" s="68">
        <f t="shared" si="329"/>
        <v>0</v>
      </c>
      <c r="Y1319" s="68">
        <f t="shared" si="330"/>
        <v>0</v>
      </c>
      <c r="Z1319" s="68">
        <f t="shared" si="331"/>
        <v>0</v>
      </c>
      <c r="AA1319" s="68"/>
      <c r="AB1319" s="68">
        <v>0</v>
      </c>
      <c r="AC1319" s="69">
        <f t="shared" si="332"/>
        <v>0</v>
      </c>
      <c r="AD1319" s="70">
        <v>0</v>
      </c>
      <c r="AE1319" s="63">
        <v>40416</v>
      </c>
      <c r="AF1319" s="72"/>
      <c r="AG1319" s="63" t="s">
        <v>954</v>
      </c>
      <c r="AH1319" s="23" t="s">
        <v>955</v>
      </c>
      <c r="AI1319" s="60"/>
      <c r="AJ1319" s="124" t="s">
        <v>842</v>
      </c>
      <c r="AK1319" s="121" t="s">
        <v>2242</v>
      </c>
      <c r="AL1319" s="107"/>
      <c r="AM1319" s="108"/>
      <c r="AN1319" s="109"/>
      <c r="AO1319" s="108"/>
      <c r="AP1319" s="108"/>
      <c r="AQ1319" s="108"/>
      <c r="AR1319" s="108"/>
      <c r="AS1319" s="108"/>
      <c r="AT1319" s="108"/>
      <c r="AU1319" s="108"/>
      <c r="AV1319" s="108"/>
      <c r="AW1319" s="108"/>
      <c r="AX1319" s="108"/>
      <c r="AY1319" s="108"/>
      <c r="AZ1319" s="108"/>
      <c r="BA1319" s="108"/>
      <c r="BB1319" s="108"/>
      <c r="BC1319" s="108"/>
      <c r="BD1319" s="108"/>
      <c r="BE1319" s="108"/>
      <c r="BF1319" s="108"/>
      <c r="BG1319" s="108"/>
      <c r="BH1319" s="108"/>
      <c r="BI1319" s="108"/>
      <c r="BJ1319" s="108"/>
      <c r="BK1319" s="108"/>
      <c r="BL1319" s="108"/>
      <c r="BM1319" s="108"/>
      <c r="BN1319" s="108"/>
      <c r="BO1319" s="108"/>
      <c r="BP1319" s="108"/>
      <c r="BQ1319" s="108"/>
      <c r="BR1319" s="108"/>
      <c r="BS1319" s="108"/>
      <c r="BT1319" s="108"/>
      <c r="BU1319" s="108"/>
      <c r="BV1319" s="108"/>
      <c r="BW1319" s="108"/>
      <c r="BX1319" s="108"/>
      <c r="BY1319" s="108"/>
      <c r="BZ1319" s="108"/>
      <c r="CA1319" s="108"/>
      <c r="CB1319" s="108"/>
      <c r="CC1319" s="108"/>
      <c r="CD1319" s="108"/>
      <c r="CE1319" s="108"/>
      <c r="CF1319" s="108"/>
      <c r="CG1319" s="108"/>
      <c r="CH1319" s="108"/>
      <c r="CI1319" s="108"/>
      <c r="CJ1319" s="108"/>
      <c r="CK1319" s="108"/>
      <c r="CL1319" s="108"/>
      <c r="CM1319" s="108"/>
      <c r="CN1319" s="110"/>
      <c r="CO1319" s="111"/>
      <c r="CP1319" s="110"/>
      <c r="CQ1319" s="111"/>
      <c r="CR1319" s="110"/>
      <c r="CS1319" s="111"/>
      <c r="CT1319" s="112">
        <f t="shared" si="333"/>
        <v>0</v>
      </c>
      <c r="CU1319" s="113"/>
      <c r="CV1319" s="114"/>
      <c r="CW1319" s="115"/>
      <c r="CX1319" s="116"/>
      <c r="CY1319" s="117"/>
      <c r="CZ1319" s="116"/>
      <c r="DA1319" s="113"/>
      <c r="DB1319" s="114"/>
      <c r="DC1319" s="64"/>
      <c r="DD1319" s="118"/>
    </row>
    <row r="1320" spans="1:108" s="119" customFormat="1" ht="72" outlineLevel="2">
      <c r="A1320" s="178">
        <v>40432</v>
      </c>
      <c r="B1320" s="164" t="s">
        <v>582</v>
      </c>
      <c r="C1320" s="164" t="s">
        <v>1616</v>
      </c>
      <c r="D1320" s="166" t="s">
        <v>435</v>
      </c>
      <c r="E1320" s="163"/>
      <c r="F1320" s="105"/>
      <c r="G1320" s="105"/>
      <c r="H1320" s="105">
        <f>60*5</f>
        <v>300</v>
      </c>
      <c r="I1320" s="105">
        <v>60</v>
      </c>
      <c r="J1320" s="105">
        <v>5</v>
      </c>
      <c r="K1320" s="105">
        <v>20</v>
      </c>
      <c r="L1320" s="105">
        <v>12</v>
      </c>
      <c r="M1320" s="105">
        <v>4</v>
      </c>
      <c r="N1320" s="105"/>
      <c r="O1320" s="105">
        <v>2</v>
      </c>
      <c r="P1320" s="105"/>
      <c r="Q1320" s="105"/>
      <c r="R1320" s="105"/>
      <c r="S1320" s="105"/>
      <c r="T1320" s="106">
        <v>200</v>
      </c>
      <c r="U1320" s="151" t="s">
        <v>414</v>
      </c>
      <c r="V1320" s="1"/>
      <c r="W1320" s="68">
        <f t="shared" si="328"/>
        <v>0</v>
      </c>
      <c r="X1320" s="68">
        <f t="shared" si="329"/>
        <v>0</v>
      </c>
      <c r="Y1320" s="68">
        <f t="shared" si="330"/>
        <v>0</v>
      </c>
      <c r="Z1320" s="68">
        <f t="shared" si="331"/>
        <v>0</v>
      </c>
      <c r="AA1320" s="68"/>
      <c r="AB1320" s="68">
        <v>0</v>
      </c>
      <c r="AC1320" s="69">
        <f t="shared" si="332"/>
        <v>0</v>
      </c>
      <c r="AD1320" s="70">
        <v>0</v>
      </c>
      <c r="AE1320" s="63">
        <v>40455</v>
      </c>
      <c r="AF1320" s="72">
        <v>53171</v>
      </c>
      <c r="AG1320" s="63" t="s">
        <v>954</v>
      </c>
      <c r="AH1320" s="23" t="s">
        <v>955</v>
      </c>
      <c r="AI1320" s="60"/>
      <c r="AJ1320" s="124" t="s">
        <v>842</v>
      </c>
      <c r="AK1320" s="121" t="s">
        <v>192</v>
      </c>
      <c r="AL1320" s="107"/>
      <c r="AM1320" s="108"/>
      <c r="AN1320" s="109"/>
      <c r="AO1320" s="108"/>
      <c r="AP1320" s="108"/>
      <c r="AQ1320" s="108"/>
      <c r="AR1320" s="108"/>
      <c r="AS1320" s="108"/>
      <c r="AT1320" s="108"/>
      <c r="AU1320" s="108"/>
      <c r="AV1320" s="108"/>
      <c r="AW1320" s="108"/>
      <c r="AX1320" s="108"/>
      <c r="AY1320" s="108"/>
      <c r="AZ1320" s="108"/>
      <c r="BA1320" s="108"/>
      <c r="BB1320" s="108"/>
      <c r="BC1320" s="108"/>
      <c r="BD1320" s="108"/>
      <c r="BE1320" s="108"/>
      <c r="BF1320" s="108"/>
      <c r="BG1320" s="108"/>
      <c r="BH1320" s="108"/>
      <c r="BI1320" s="108"/>
      <c r="BJ1320" s="108"/>
      <c r="BK1320" s="108"/>
      <c r="BL1320" s="108"/>
      <c r="BM1320" s="108"/>
      <c r="BN1320" s="108"/>
      <c r="BO1320" s="108"/>
      <c r="BP1320" s="108"/>
      <c r="BQ1320" s="108"/>
      <c r="BR1320" s="108"/>
      <c r="BS1320" s="108"/>
      <c r="BT1320" s="108"/>
      <c r="BU1320" s="108"/>
      <c r="BV1320" s="108"/>
      <c r="BW1320" s="108"/>
      <c r="BX1320" s="108"/>
      <c r="BY1320" s="108"/>
      <c r="BZ1320" s="108"/>
      <c r="CA1320" s="108"/>
      <c r="CB1320" s="108"/>
      <c r="CC1320" s="108"/>
      <c r="CD1320" s="108"/>
      <c r="CE1320" s="108"/>
      <c r="CF1320" s="108"/>
      <c r="CG1320" s="108"/>
      <c r="CH1320" s="108"/>
      <c r="CI1320" s="108"/>
      <c r="CJ1320" s="108"/>
      <c r="CK1320" s="108"/>
      <c r="CL1320" s="108"/>
      <c r="CM1320" s="108"/>
      <c r="CN1320" s="110"/>
      <c r="CO1320" s="111"/>
      <c r="CP1320" s="110"/>
      <c r="CQ1320" s="111"/>
      <c r="CR1320" s="110"/>
      <c r="CS1320" s="111"/>
      <c r="CT1320" s="112">
        <f t="shared" si="333"/>
        <v>0</v>
      </c>
      <c r="CU1320" s="113"/>
      <c r="CV1320" s="114"/>
      <c r="CW1320" s="115"/>
      <c r="CX1320" s="116"/>
      <c r="CY1320" s="117"/>
      <c r="CZ1320" s="116"/>
      <c r="DA1320" s="113"/>
      <c r="DB1320" s="114"/>
      <c r="DC1320" s="64"/>
      <c r="DD1320" s="118"/>
    </row>
    <row r="1321" spans="1:108" s="119" customFormat="1" ht="84" outlineLevel="2">
      <c r="A1321" s="178">
        <v>40436</v>
      </c>
      <c r="B1321" s="174" t="s">
        <v>582</v>
      </c>
      <c r="C1321" s="174" t="s">
        <v>1129</v>
      </c>
      <c r="D1321" s="165" t="s">
        <v>1182</v>
      </c>
      <c r="E1321" s="163"/>
      <c r="F1321" s="105"/>
      <c r="G1321" s="105"/>
      <c r="H1321" s="105">
        <f>80*5</f>
        <v>400</v>
      </c>
      <c r="I1321" s="105">
        <v>80</v>
      </c>
      <c r="J1321" s="105">
        <v>4</v>
      </c>
      <c r="K1321" s="105">
        <v>1</v>
      </c>
      <c r="L1321" s="105">
        <v>1</v>
      </c>
      <c r="M1321" s="105"/>
      <c r="N1321" s="105"/>
      <c r="O1321" s="105"/>
      <c r="P1321" s="105"/>
      <c r="Q1321" s="105"/>
      <c r="R1321" s="105"/>
      <c r="S1321" s="105"/>
      <c r="T1321" s="106">
        <v>130</v>
      </c>
      <c r="U1321" s="130"/>
      <c r="V1321" s="1"/>
      <c r="W1321" s="68">
        <f t="shared" si="328"/>
        <v>0</v>
      </c>
      <c r="X1321" s="68">
        <f t="shared" si="329"/>
        <v>0</v>
      </c>
      <c r="Y1321" s="68">
        <f t="shared" si="330"/>
        <v>0</v>
      </c>
      <c r="Z1321" s="68">
        <f t="shared" si="331"/>
        <v>0</v>
      </c>
      <c r="AA1321" s="68"/>
      <c r="AB1321" s="68">
        <v>0</v>
      </c>
      <c r="AC1321" s="69">
        <f t="shared" si="332"/>
        <v>0</v>
      </c>
      <c r="AD1321" s="70">
        <v>0</v>
      </c>
      <c r="AE1321" s="63">
        <v>40441</v>
      </c>
      <c r="AF1321" s="72"/>
      <c r="AG1321" s="63" t="s">
        <v>954</v>
      </c>
      <c r="AH1321" s="23" t="s">
        <v>955</v>
      </c>
      <c r="AI1321" s="60"/>
      <c r="AJ1321" s="124" t="s">
        <v>842</v>
      </c>
      <c r="AK1321" s="121" t="s">
        <v>558</v>
      </c>
      <c r="AL1321" s="107"/>
      <c r="AM1321" s="108"/>
      <c r="AN1321" s="109"/>
      <c r="AO1321" s="108"/>
      <c r="AP1321" s="108"/>
      <c r="AQ1321" s="108"/>
      <c r="AR1321" s="108"/>
      <c r="AS1321" s="108"/>
      <c r="AT1321" s="108"/>
      <c r="AU1321" s="108"/>
      <c r="AV1321" s="108"/>
      <c r="AW1321" s="108"/>
      <c r="AX1321" s="108"/>
      <c r="AY1321" s="108"/>
      <c r="AZ1321" s="108"/>
      <c r="BA1321" s="108"/>
      <c r="BB1321" s="108"/>
      <c r="BC1321" s="108"/>
      <c r="BD1321" s="108"/>
      <c r="BE1321" s="108"/>
      <c r="BF1321" s="108"/>
      <c r="BG1321" s="108"/>
      <c r="BH1321" s="108"/>
      <c r="BI1321" s="108"/>
      <c r="BJ1321" s="108"/>
      <c r="BK1321" s="108"/>
      <c r="BL1321" s="108"/>
      <c r="BM1321" s="108"/>
      <c r="BN1321" s="108"/>
      <c r="BO1321" s="108"/>
      <c r="BP1321" s="108"/>
      <c r="BQ1321" s="108"/>
      <c r="BR1321" s="108"/>
      <c r="BS1321" s="108"/>
      <c r="BT1321" s="108"/>
      <c r="BU1321" s="108"/>
      <c r="BV1321" s="108"/>
      <c r="BW1321" s="108"/>
      <c r="BX1321" s="108"/>
      <c r="BY1321" s="108"/>
      <c r="BZ1321" s="108"/>
      <c r="CA1321" s="108"/>
      <c r="CB1321" s="108"/>
      <c r="CC1321" s="108"/>
      <c r="CD1321" s="108"/>
      <c r="CE1321" s="108"/>
      <c r="CF1321" s="108"/>
      <c r="CG1321" s="108"/>
      <c r="CH1321" s="108"/>
      <c r="CI1321" s="108"/>
      <c r="CJ1321" s="108"/>
      <c r="CK1321" s="108"/>
      <c r="CL1321" s="108"/>
      <c r="CM1321" s="108"/>
      <c r="CN1321" s="110"/>
      <c r="CO1321" s="111"/>
      <c r="CP1321" s="110"/>
      <c r="CQ1321" s="111"/>
      <c r="CR1321" s="110"/>
      <c r="CS1321" s="111"/>
      <c r="CT1321" s="112">
        <f t="shared" si="333"/>
        <v>0</v>
      </c>
      <c r="CU1321" s="113"/>
      <c r="CV1321" s="114"/>
      <c r="CW1321" s="115"/>
      <c r="CX1321" s="116"/>
      <c r="CY1321" s="117"/>
      <c r="CZ1321" s="116"/>
      <c r="DA1321" s="113"/>
      <c r="DB1321" s="114"/>
      <c r="DC1321" s="64"/>
      <c r="DD1321" s="118"/>
    </row>
    <row r="1322" spans="1:108" s="119" customFormat="1" ht="24" outlineLevel="2">
      <c r="A1322" s="178">
        <v>40446</v>
      </c>
      <c r="B1322" s="164" t="s">
        <v>582</v>
      </c>
      <c r="C1322" s="164" t="s">
        <v>1712</v>
      </c>
      <c r="D1322" s="165" t="s">
        <v>1182</v>
      </c>
      <c r="E1322" s="163"/>
      <c r="F1322" s="105"/>
      <c r="G1322" s="105"/>
      <c r="H1322" s="105">
        <v>20</v>
      </c>
      <c r="I1322" s="105">
        <v>5</v>
      </c>
      <c r="J1322" s="105"/>
      <c r="K1322" s="105">
        <v>5</v>
      </c>
      <c r="L1322" s="105"/>
      <c r="M1322" s="105"/>
      <c r="N1322" s="105"/>
      <c r="O1322" s="105"/>
      <c r="P1322" s="105"/>
      <c r="Q1322" s="105"/>
      <c r="R1322" s="105"/>
      <c r="S1322" s="105"/>
      <c r="T1322" s="106"/>
      <c r="U1322" s="130"/>
      <c r="V1322" s="1"/>
      <c r="W1322" s="68">
        <f t="shared" si="328"/>
        <v>0</v>
      </c>
      <c r="X1322" s="68">
        <f t="shared" si="329"/>
        <v>0</v>
      </c>
      <c r="Y1322" s="68">
        <f t="shared" si="330"/>
        <v>0</v>
      </c>
      <c r="Z1322" s="68">
        <f t="shared" si="331"/>
        <v>0</v>
      </c>
      <c r="AA1322" s="68"/>
      <c r="AB1322" s="68">
        <v>0</v>
      </c>
      <c r="AC1322" s="69">
        <f t="shared" si="332"/>
        <v>0</v>
      </c>
      <c r="AD1322" s="70">
        <v>0</v>
      </c>
      <c r="AE1322" s="63">
        <v>40448</v>
      </c>
      <c r="AF1322" s="72"/>
      <c r="AG1322" s="63" t="s">
        <v>954</v>
      </c>
      <c r="AH1322" s="23" t="s">
        <v>955</v>
      </c>
      <c r="AI1322" s="60"/>
      <c r="AJ1322" s="124" t="s">
        <v>842</v>
      </c>
      <c r="AK1322" s="121" t="s">
        <v>1356</v>
      </c>
      <c r="AL1322" s="107"/>
      <c r="AM1322" s="108"/>
      <c r="AN1322" s="109"/>
      <c r="AO1322" s="108"/>
      <c r="AP1322" s="108"/>
      <c r="AQ1322" s="108"/>
      <c r="AR1322" s="108"/>
      <c r="AS1322" s="108"/>
      <c r="AT1322" s="108"/>
      <c r="AU1322" s="108"/>
      <c r="AV1322" s="108"/>
      <c r="AW1322" s="108"/>
      <c r="AX1322" s="108"/>
      <c r="AY1322" s="108"/>
      <c r="AZ1322" s="108"/>
      <c r="BA1322" s="108"/>
      <c r="BB1322" s="108"/>
      <c r="BC1322" s="108"/>
      <c r="BD1322" s="108"/>
      <c r="BE1322" s="108"/>
      <c r="BF1322" s="108"/>
      <c r="BG1322" s="108"/>
      <c r="BH1322" s="108"/>
      <c r="BI1322" s="108"/>
      <c r="BJ1322" s="108"/>
      <c r="BK1322" s="108"/>
      <c r="BL1322" s="108"/>
      <c r="BM1322" s="108"/>
      <c r="BN1322" s="108"/>
      <c r="BO1322" s="108"/>
      <c r="BP1322" s="108"/>
      <c r="BQ1322" s="108"/>
      <c r="BR1322" s="108"/>
      <c r="BS1322" s="108"/>
      <c r="BT1322" s="108"/>
      <c r="BU1322" s="108"/>
      <c r="BV1322" s="108"/>
      <c r="BW1322" s="108"/>
      <c r="BX1322" s="108"/>
      <c r="BY1322" s="108"/>
      <c r="BZ1322" s="108"/>
      <c r="CA1322" s="108"/>
      <c r="CB1322" s="108"/>
      <c r="CC1322" s="108"/>
      <c r="CD1322" s="108"/>
      <c r="CE1322" s="108"/>
      <c r="CF1322" s="108"/>
      <c r="CG1322" s="108"/>
      <c r="CH1322" s="108"/>
      <c r="CI1322" s="108"/>
      <c r="CJ1322" s="108"/>
      <c r="CK1322" s="108"/>
      <c r="CL1322" s="108"/>
      <c r="CM1322" s="108"/>
      <c r="CN1322" s="110"/>
      <c r="CO1322" s="111"/>
      <c r="CP1322" s="110"/>
      <c r="CQ1322" s="111"/>
      <c r="CR1322" s="110"/>
      <c r="CS1322" s="111"/>
      <c r="CT1322" s="112">
        <f t="shared" si="333"/>
        <v>0</v>
      </c>
      <c r="CU1322" s="113"/>
      <c r="CV1322" s="114"/>
      <c r="CW1322" s="115"/>
      <c r="CX1322" s="116"/>
      <c r="CY1322" s="117"/>
      <c r="CZ1322" s="116"/>
      <c r="DA1322" s="113"/>
      <c r="DB1322" s="114"/>
      <c r="DC1322" s="64"/>
      <c r="DD1322" s="118"/>
    </row>
    <row r="1323" spans="1:108" s="119" customFormat="1" ht="36" outlineLevel="2">
      <c r="A1323" s="178">
        <v>40448</v>
      </c>
      <c r="B1323" s="164" t="s">
        <v>582</v>
      </c>
      <c r="C1323" s="164" t="s">
        <v>1712</v>
      </c>
      <c r="D1323" s="165" t="s">
        <v>1182</v>
      </c>
      <c r="E1323" s="163"/>
      <c r="F1323" s="105"/>
      <c r="G1323" s="105"/>
      <c r="H1323" s="105">
        <f>33*5</f>
        <v>165</v>
      </c>
      <c r="I1323" s="105">
        <v>33</v>
      </c>
      <c r="J1323" s="105"/>
      <c r="K1323" s="105">
        <v>33</v>
      </c>
      <c r="L1323" s="105"/>
      <c r="M1323" s="105"/>
      <c r="N1323" s="105"/>
      <c r="O1323" s="105"/>
      <c r="P1323" s="105"/>
      <c r="Q1323" s="105"/>
      <c r="R1323" s="105"/>
      <c r="S1323" s="105"/>
      <c r="T1323" s="106"/>
      <c r="U1323" s="130"/>
      <c r="V1323" s="1"/>
      <c r="W1323" s="68">
        <f t="shared" si="328"/>
        <v>0</v>
      </c>
      <c r="X1323" s="68">
        <f t="shared" si="329"/>
        <v>0</v>
      </c>
      <c r="Y1323" s="68">
        <f t="shared" si="330"/>
        <v>0</v>
      </c>
      <c r="Z1323" s="68">
        <f t="shared" si="331"/>
        <v>0</v>
      </c>
      <c r="AA1323" s="68"/>
      <c r="AB1323" s="68">
        <v>0</v>
      </c>
      <c r="AC1323" s="69">
        <f t="shared" si="332"/>
        <v>0</v>
      </c>
      <c r="AD1323" s="70">
        <v>0</v>
      </c>
      <c r="AE1323" s="63">
        <v>40451</v>
      </c>
      <c r="AF1323" s="72"/>
      <c r="AG1323" s="63" t="s">
        <v>954</v>
      </c>
      <c r="AH1323" s="23" t="s">
        <v>955</v>
      </c>
      <c r="AI1323" s="60"/>
      <c r="AJ1323" s="124" t="s">
        <v>842</v>
      </c>
      <c r="AK1323" s="121" t="s">
        <v>748</v>
      </c>
      <c r="AL1323" s="107"/>
      <c r="AM1323" s="108"/>
      <c r="AN1323" s="109"/>
      <c r="AO1323" s="108"/>
      <c r="AP1323" s="108"/>
      <c r="AQ1323" s="108"/>
      <c r="AR1323" s="108"/>
      <c r="AS1323" s="108"/>
      <c r="AT1323" s="108"/>
      <c r="AU1323" s="108"/>
      <c r="AV1323" s="108"/>
      <c r="AW1323" s="108"/>
      <c r="AX1323" s="108"/>
      <c r="AY1323" s="108"/>
      <c r="AZ1323" s="108"/>
      <c r="BA1323" s="108"/>
      <c r="BB1323" s="108"/>
      <c r="BC1323" s="108"/>
      <c r="BD1323" s="108"/>
      <c r="BE1323" s="108"/>
      <c r="BF1323" s="108"/>
      <c r="BG1323" s="108"/>
      <c r="BH1323" s="108"/>
      <c r="BI1323" s="108"/>
      <c r="BJ1323" s="108"/>
      <c r="BK1323" s="108"/>
      <c r="BL1323" s="108"/>
      <c r="BM1323" s="108"/>
      <c r="BN1323" s="108"/>
      <c r="BO1323" s="108"/>
      <c r="BP1323" s="108"/>
      <c r="BQ1323" s="108"/>
      <c r="BR1323" s="108"/>
      <c r="BS1323" s="108"/>
      <c r="BT1323" s="108"/>
      <c r="BU1323" s="108"/>
      <c r="BV1323" s="108"/>
      <c r="BW1323" s="108"/>
      <c r="BX1323" s="108"/>
      <c r="BY1323" s="108"/>
      <c r="BZ1323" s="108"/>
      <c r="CA1323" s="108"/>
      <c r="CB1323" s="108"/>
      <c r="CC1323" s="108"/>
      <c r="CD1323" s="108"/>
      <c r="CE1323" s="108"/>
      <c r="CF1323" s="108"/>
      <c r="CG1323" s="108"/>
      <c r="CH1323" s="108"/>
      <c r="CI1323" s="108"/>
      <c r="CJ1323" s="108"/>
      <c r="CK1323" s="108"/>
      <c r="CL1323" s="108"/>
      <c r="CM1323" s="108"/>
      <c r="CN1323" s="110"/>
      <c r="CO1323" s="111"/>
      <c r="CP1323" s="110"/>
      <c r="CQ1323" s="111"/>
      <c r="CR1323" s="110"/>
      <c r="CS1323" s="111"/>
      <c r="CT1323" s="112">
        <f t="shared" si="333"/>
        <v>0</v>
      </c>
      <c r="CU1323" s="113"/>
      <c r="CV1323" s="114"/>
      <c r="CW1323" s="115"/>
      <c r="CX1323" s="116"/>
      <c r="CY1323" s="117"/>
      <c r="CZ1323" s="116"/>
      <c r="DA1323" s="113"/>
      <c r="DB1323" s="114"/>
      <c r="DC1323" s="64"/>
      <c r="DD1323" s="118"/>
    </row>
    <row r="1324" spans="1:108" s="119" customFormat="1" ht="24" outlineLevel="2">
      <c r="A1324" s="178">
        <v>40450</v>
      </c>
      <c r="B1324" s="164" t="s">
        <v>582</v>
      </c>
      <c r="C1324" s="164" t="s">
        <v>614</v>
      </c>
      <c r="D1324" s="166" t="s">
        <v>1262</v>
      </c>
      <c r="E1324" s="163"/>
      <c r="F1324" s="105"/>
      <c r="G1324" s="105"/>
      <c r="H1324" s="105">
        <f>508*5</f>
        <v>2540</v>
      </c>
      <c r="I1324" s="105">
        <f>800-250-13-29</f>
        <v>508</v>
      </c>
      <c r="J1324" s="105">
        <v>1</v>
      </c>
      <c r="K1324" s="105">
        <f>53-28</f>
        <v>25</v>
      </c>
      <c r="L1324" s="105">
        <v>4</v>
      </c>
      <c r="M1324" s="105">
        <v>2</v>
      </c>
      <c r="N1324" s="105"/>
      <c r="O1324" s="105"/>
      <c r="P1324" s="105"/>
      <c r="Q1324" s="105"/>
      <c r="R1324" s="105">
        <v>2</v>
      </c>
      <c r="S1324" s="105"/>
      <c r="T1324" s="106">
        <v>10000</v>
      </c>
      <c r="U1324" s="151" t="s">
        <v>414</v>
      </c>
      <c r="V1324" s="1"/>
      <c r="W1324" s="68">
        <f t="shared" si="328"/>
        <v>0</v>
      </c>
      <c r="X1324" s="68">
        <f t="shared" si="329"/>
        <v>0</v>
      </c>
      <c r="Y1324" s="68">
        <f t="shared" si="330"/>
        <v>0</v>
      </c>
      <c r="Z1324" s="68">
        <f t="shared" si="331"/>
        <v>0</v>
      </c>
      <c r="AA1324" s="68"/>
      <c r="AB1324" s="68">
        <v>0</v>
      </c>
      <c r="AC1324" s="69">
        <f t="shared" si="332"/>
        <v>0</v>
      </c>
      <c r="AD1324" s="70">
        <v>0</v>
      </c>
      <c r="AE1324" s="63">
        <v>40451</v>
      </c>
      <c r="AF1324" s="72"/>
      <c r="AG1324" s="63" t="s">
        <v>954</v>
      </c>
      <c r="AH1324" s="23" t="s">
        <v>955</v>
      </c>
      <c r="AI1324" s="60"/>
      <c r="AJ1324" s="124" t="s">
        <v>842</v>
      </c>
      <c r="AK1324" s="121" t="s">
        <v>752</v>
      </c>
      <c r="AL1324" s="107"/>
      <c r="AM1324" s="108"/>
      <c r="AN1324" s="109"/>
      <c r="AO1324" s="108"/>
      <c r="AP1324" s="108"/>
      <c r="AQ1324" s="108"/>
      <c r="AR1324" s="108"/>
      <c r="AS1324" s="108"/>
      <c r="AT1324" s="108"/>
      <c r="AU1324" s="108"/>
      <c r="AV1324" s="108"/>
      <c r="AW1324" s="108"/>
      <c r="AX1324" s="108"/>
      <c r="AY1324" s="108"/>
      <c r="AZ1324" s="108"/>
      <c r="BA1324" s="108"/>
      <c r="BB1324" s="108"/>
      <c r="BC1324" s="108"/>
      <c r="BD1324" s="108"/>
      <c r="BE1324" s="108"/>
      <c r="BF1324" s="108"/>
      <c r="BG1324" s="108"/>
      <c r="BH1324" s="108"/>
      <c r="BI1324" s="108"/>
      <c r="BJ1324" s="108"/>
      <c r="BK1324" s="108"/>
      <c r="BL1324" s="108"/>
      <c r="BM1324" s="108"/>
      <c r="BN1324" s="108"/>
      <c r="BO1324" s="108"/>
      <c r="BP1324" s="108"/>
      <c r="BQ1324" s="108"/>
      <c r="BR1324" s="108"/>
      <c r="BS1324" s="108"/>
      <c r="BT1324" s="108"/>
      <c r="BU1324" s="108"/>
      <c r="BV1324" s="108"/>
      <c r="BW1324" s="108"/>
      <c r="BX1324" s="108"/>
      <c r="BY1324" s="108"/>
      <c r="BZ1324" s="108"/>
      <c r="CA1324" s="108"/>
      <c r="CB1324" s="108"/>
      <c r="CC1324" s="108"/>
      <c r="CD1324" s="108"/>
      <c r="CE1324" s="108"/>
      <c r="CF1324" s="108"/>
      <c r="CG1324" s="108"/>
      <c r="CH1324" s="108"/>
      <c r="CI1324" s="108"/>
      <c r="CJ1324" s="108"/>
      <c r="CK1324" s="108"/>
      <c r="CL1324" s="108"/>
      <c r="CM1324" s="108"/>
      <c r="CN1324" s="110"/>
      <c r="CO1324" s="111"/>
      <c r="CP1324" s="110"/>
      <c r="CQ1324" s="111"/>
      <c r="CR1324" s="110"/>
      <c r="CS1324" s="111"/>
      <c r="CT1324" s="112">
        <f t="shared" si="333"/>
        <v>0</v>
      </c>
      <c r="CU1324" s="113"/>
      <c r="CV1324" s="114"/>
      <c r="CW1324" s="115"/>
      <c r="CX1324" s="116"/>
      <c r="CY1324" s="117"/>
      <c r="CZ1324" s="116"/>
      <c r="DA1324" s="113"/>
      <c r="DB1324" s="114"/>
      <c r="DC1324" s="64"/>
      <c r="DD1324" s="118"/>
    </row>
    <row r="1325" spans="1:108" s="119" customFormat="1" ht="24" outlineLevel="2">
      <c r="A1325" s="178">
        <v>40452</v>
      </c>
      <c r="B1325" s="164" t="s">
        <v>582</v>
      </c>
      <c r="C1325" s="164" t="s">
        <v>2217</v>
      </c>
      <c r="D1325" s="166" t="s">
        <v>1262</v>
      </c>
      <c r="E1325" s="163"/>
      <c r="F1325" s="105"/>
      <c r="G1325" s="105"/>
      <c r="H1325" s="105">
        <f>80*5</f>
        <v>400</v>
      </c>
      <c r="I1325" s="105">
        <v>80</v>
      </c>
      <c r="J1325" s="105">
        <v>40</v>
      </c>
      <c r="K1325" s="105">
        <v>10</v>
      </c>
      <c r="L1325" s="105">
        <v>3</v>
      </c>
      <c r="M1325" s="105"/>
      <c r="N1325" s="105"/>
      <c r="O1325" s="105"/>
      <c r="P1325" s="105"/>
      <c r="Q1325" s="105"/>
      <c r="R1325" s="105"/>
      <c r="S1325" s="105"/>
      <c r="T1325" s="106">
        <v>170</v>
      </c>
      <c r="U1325" s="130"/>
      <c r="V1325" s="1"/>
      <c r="W1325" s="68">
        <f t="shared" si="328"/>
        <v>0</v>
      </c>
      <c r="X1325" s="68">
        <f t="shared" si="329"/>
        <v>0</v>
      </c>
      <c r="Y1325" s="68">
        <f t="shared" si="330"/>
        <v>0</v>
      </c>
      <c r="Z1325" s="68">
        <f t="shared" si="331"/>
        <v>0</v>
      </c>
      <c r="AA1325" s="68"/>
      <c r="AB1325" s="68">
        <v>0</v>
      </c>
      <c r="AC1325" s="69">
        <f t="shared" si="332"/>
        <v>0</v>
      </c>
      <c r="AD1325" s="70">
        <v>0</v>
      </c>
      <c r="AE1325" s="63">
        <v>40465</v>
      </c>
      <c r="AF1325" s="72"/>
      <c r="AG1325" s="63" t="s">
        <v>954</v>
      </c>
      <c r="AH1325" s="23" t="s">
        <v>955</v>
      </c>
      <c r="AI1325" s="60"/>
      <c r="AJ1325" s="124" t="s">
        <v>842</v>
      </c>
      <c r="AK1325" s="121" t="s">
        <v>818</v>
      </c>
      <c r="AL1325" s="107"/>
      <c r="AM1325" s="108"/>
      <c r="AN1325" s="109"/>
      <c r="AO1325" s="108"/>
      <c r="AP1325" s="108"/>
      <c r="AQ1325" s="108"/>
      <c r="AR1325" s="108"/>
      <c r="AS1325" s="108"/>
      <c r="AT1325" s="108"/>
      <c r="AU1325" s="108"/>
      <c r="AV1325" s="108"/>
      <c r="AW1325" s="108"/>
      <c r="AX1325" s="108"/>
      <c r="AY1325" s="108"/>
      <c r="AZ1325" s="108"/>
      <c r="BA1325" s="108"/>
      <c r="BB1325" s="108"/>
      <c r="BC1325" s="108"/>
      <c r="BD1325" s="108"/>
      <c r="BE1325" s="108"/>
      <c r="BF1325" s="108"/>
      <c r="BG1325" s="108"/>
      <c r="BH1325" s="108"/>
      <c r="BI1325" s="108"/>
      <c r="BJ1325" s="108"/>
      <c r="BK1325" s="108"/>
      <c r="BL1325" s="108"/>
      <c r="BM1325" s="108"/>
      <c r="BN1325" s="108"/>
      <c r="BO1325" s="108"/>
      <c r="BP1325" s="108"/>
      <c r="BQ1325" s="108"/>
      <c r="BR1325" s="108"/>
      <c r="BS1325" s="108"/>
      <c r="BT1325" s="108"/>
      <c r="BU1325" s="108"/>
      <c r="BV1325" s="108"/>
      <c r="BW1325" s="108"/>
      <c r="BX1325" s="108"/>
      <c r="BY1325" s="108"/>
      <c r="BZ1325" s="108"/>
      <c r="CA1325" s="108"/>
      <c r="CB1325" s="108"/>
      <c r="CC1325" s="108"/>
      <c r="CD1325" s="108"/>
      <c r="CE1325" s="108"/>
      <c r="CF1325" s="108"/>
      <c r="CG1325" s="108"/>
      <c r="CH1325" s="108"/>
      <c r="CI1325" s="108"/>
      <c r="CJ1325" s="108"/>
      <c r="CK1325" s="108"/>
      <c r="CL1325" s="108"/>
      <c r="CM1325" s="108"/>
      <c r="CN1325" s="110"/>
      <c r="CO1325" s="111"/>
      <c r="CP1325" s="110"/>
      <c r="CQ1325" s="111"/>
      <c r="CR1325" s="110"/>
      <c r="CS1325" s="111"/>
      <c r="CT1325" s="112">
        <f t="shared" si="333"/>
        <v>0</v>
      </c>
      <c r="CU1325" s="113"/>
      <c r="CV1325" s="114"/>
      <c r="CW1325" s="115"/>
      <c r="CX1325" s="116"/>
      <c r="CY1325" s="117"/>
      <c r="CZ1325" s="116"/>
      <c r="DA1325" s="113"/>
      <c r="DB1325" s="114"/>
      <c r="DC1325" s="64"/>
      <c r="DD1325" s="118"/>
    </row>
    <row r="1326" spans="1:108" s="119" customFormat="1" ht="22.5" outlineLevel="2">
      <c r="A1326" s="178">
        <v>40452</v>
      </c>
      <c r="B1326" s="164" t="s">
        <v>582</v>
      </c>
      <c r="C1326" s="164" t="s">
        <v>1429</v>
      </c>
      <c r="D1326" s="166" t="s">
        <v>1262</v>
      </c>
      <c r="E1326" s="163"/>
      <c r="F1326" s="105"/>
      <c r="G1326" s="105"/>
      <c r="H1326" s="105">
        <f>25*5</f>
        <v>125</v>
      </c>
      <c r="I1326" s="105">
        <v>25</v>
      </c>
      <c r="J1326" s="105">
        <v>4</v>
      </c>
      <c r="K1326" s="105"/>
      <c r="L1326" s="105">
        <v>4</v>
      </c>
      <c r="M1326" s="105"/>
      <c r="N1326" s="105"/>
      <c r="O1326" s="105"/>
      <c r="P1326" s="105"/>
      <c r="Q1326" s="105"/>
      <c r="R1326" s="105"/>
      <c r="S1326" s="105">
        <v>1</v>
      </c>
      <c r="T1326" s="106">
        <v>200</v>
      </c>
      <c r="U1326" s="151" t="s">
        <v>414</v>
      </c>
      <c r="V1326" s="1"/>
      <c r="W1326" s="68">
        <f t="shared" si="328"/>
        <v>0</v>
      </c>
      <c r="X1326" s="68">
        <f t="shared" si="329"/>
        <v>0</v>
      </c>
      <c r="Y1326" s="68">
        <f t="shared" si="330"/>
        <v>0</v>
      </c>
      <c r="Z1326" s="68">
        <f t="shared" si="331"/>
        <v>0</v>
      </c>
      <c r="AA1326" s="68"/>
      <c r="AB1326" s="68">
        <v>0</v>
      </c>
      <c r="AC1326" s="69">
        <f t="shared" si="332"/>
        <v>0</v>
      </c>
      <c r="AD1326" s="70">
        <v>0</v>
      </c>
      <c r="AE1326" s="63"/>
      <c r="AF1326" s="72"/>
      <c r="AG1326" s="63" t="s">
        <v>954</v>
      </c>
      <c r="AH1326" s="23" t="s">
        <v>955</v>
      </c>
      <c r="AI1326" s="60"/>
      <c r="AJ1326" s="124" t="s">
        <v>842</v>
      </c>
      <c r="AK1326" s="121" t="s">
        <v>1960</v>
      </c>
      <c r="AL1326" s="107"/>
      <c r="AM1326" s="108"/>
      <c r="AN1326" s="109"/>
      <c r="AO1326" s="108"/>
      <c r="AP1326" s="108"/>
      <c r="AQ1326" s="108"/>
      <c r="AR1326" s="108"/>
      <c r="AS1326" s="108"/>
      <c r="AT1326" s="108"/>
      <c r="AU1326" s="108"/>
      <c r="AV1326" s="108"/>
      <c r="AW1326" s="108"/>
      <c r="AX1326" s="108"/>
      <c r="AY1326" s="108"/>
      <c r="AZ1326" s="108"/>
      <c r="BA1326" s="108"/>
      <c r="BB1326" s="108"/>
      <c r="BC1326" s="108"/>
      <c r="BD1326" s="108"/>
      <c r="BE1326" s="108"/>
      <c r="BF1326" s="108"/>
      <c r="BG1326" s="108"/>
      <c r="BH1326" s="108"/>
      <c r="BI1326" s="108"/>
      <c r="BJ1326" s="108"/>
      <c r="BK1326" s="108"/>
      <c r="BL1326" s="108"/>
      <c r="BM1326" s="108"/>
      <c r="BN1326" s="108"/>
      <c r="BO1326" s="108"/>
      <c r="BP1326" s="108"/>
      <c r="BQ1326" s="108"/>
      <c r="BR1326" s="108"/>
      <c r="BS1326" s="108"/>
      <c r="BT1326" s="108"/>
      <c r="BU1326" s="108"/>
      <c r="BV1326" s="108"/>
      <c r="BW1326" s="108"/>
      <c r="BX1326" s="108"/>
      <c r="BY1326" s="108"/>
      <c r="BZ1326" s="108"/>
      <c r="CA1326" s="108"/>
      <c r="CB1326" s="108"/>
      <c r="CC1326" s="108"/>
      <c r="CD1326" s="108"/>
      <c r="CE1326" s="108"/>
      <c r="CF1326" s="108"/>
      <c r="CG1326" s="108"/>
      <c r="CH1326" s="108"/>
      <c r="CI1326" s="108"/>
      <c r="CJ1326" s="108"/>
      <c r="CK1326" s="108"/>
      <c r="CL1326" s="108"/>
      <c r="CM1326" s="108"/>
      <c r="CN1326" s="110"/>
      <c r="CO1326" s="111"/>
      <c r="CP1326" s="110"/>
      <c r="CQ1326" s="111"/>
      <c r="CR1326" s="110"/>
      <c r="CS1326" s="111"/>
      <c r="CT1326" s="112">
        <f t="shared" si="333"/>
        <v>0</v>
      </c>
      <c r="CU1326" s="113"/>
      <c r="CV1326" s="114"/>
      <c r="CW1326" s="115"/>
      <c r="CX1326" s="116"/>
      <c r="CY1326" s="117"/>
      <c r="CZ1326" s="116"/>
      <c r="DA1326" s="113"/>
      <c r="DB1326" s="114"/>
      <c r="DC1326" s="64"/>
      <c r="DD1326" s="118"/>
    </row>
    <row r="1327" spans="1:108" s="119" customFormat="1" ht="22.5" outlineLevel="2">
      <c r="A1327" s="178">
        <v>40452</v>
      </c>
      <c r="B1327" s="164" t="s">
        <v>582</v>
      </c>
      <c r="C1327" s="164" t="s">
        <v>813</v>
      </c>
      <c r="D1327" s="166" t="s">
        <v>1262</v>
      </c>
      <c r="E1327" s="163"/>
      <c r="F1327" s="105"/>
      <c r="G1327" s="105"/>
      <c r="H1327" s="105">
        <f>60*5</f>
        <v>300</v>
      </c>
      <c r="I1327" s="105">
        <v>60</v>
      </c>
      <c r="J1327" s="105">
        <v>10</v>
      </c>
      <c r="K1327" s="105">
        <v>8</v>
      </c>
      <c r="L1327" s="105">
        <v>6</v>
      </c>
      <c r="M1327" s="105"/>
      <c r="N1327" s="105"/>
      <c r="O1327" s="105">
        <v>1</v>
      </c>
      <c r="P1327" s="105"/>
      <c r="Q1327" s="105"/>
      <c r="R1327" s="105"/>
      <c r="S1327" s="105"/>
      <c r="T1327" s="106">
        <v>300</v>
      </c>
      <c r="U1327" s="130"/>
      <c r="V1327" s="1"/>
      <c r="W1327" s="68">
        <f t="shared" si="328"/>
        <v>0</v>
      </c>
      <c r="X1327" s="68">
        <f t="shared" si="329"/>
        <v>0</v>
      </c>
      <c r="Y1327" s="68">
        <f t="shared" si="330"/>
        <v>0</v>
      </c>
      <c r="Z1327" s="68">
        <f t="shared" si="331"/>
        <v>0</v>
      </c>
      <c r="AA1327" s="68"/>
      <c r="AB1327" s="68">
        <v>0</v>
      </c>
      <c r="AC1327" s="69">
        <f t="shared" si="332"/>
        <v>0</v>
      </c>
      <c r="AD1327" s="70">
        <v>0</v>
      </c>
      <c r="AE1327" s="63"/>
      <c r="AF1327" s="72"/>
      <c r="AG1327" s="63" t="s">
        <v>954</v>
      </c>
      <c r="AH1327" s="23" t="s">
        <v>955</v>
      </c>
      <c r="AI1327" s="60"/>
      <c r="AJ1327" s="124" t="s">
        <v>842</v>
      </c>
      <c r="AK1327" s="121" t="s">
        <v>1960</v>
      </c>
      <c r="AL1327" s="107"/>
      <c r="AM1327" s="108"/>
      <c r="AN1327" s="109"/>
      <c r="AO1327" s="108"/>
      <c r="AP1327" s="108"/>
      <c r="AQ1327" s="108"/>
      <c r="AR1327" s="108"/>
      <c r="AS1327" s="108"/>
      <c r="AT1327" s="108"/>
      <c r="AU1327" s="108"/>
      <c r="AV1327" s="108"/>
      <c r="AW1327" s="108"/>
      <c r="AX1327" s="108"/>
      <c r="AY1327" s="108"/>
      <c r="AZ1327" s="108"/>
      <c r="BA1327" s="108"/>
      <c r="BB1327" s="108"/>
      <c r="BC1327" s="108"/>
      <c r="BD1327" s="108"/>
      <c r="BE1327" s="108"/>
      <c r="BF1327" s="108"/>
      <c r="BG1327" s="108"/>
      <c r="BH1327" s="108"/>
      <c r="BI1327" s="108"/>
      <c r="BJ1327" s="108"/>
      <c r="BK1327" s="108"/>
      <c r="BL1327" s="108"/>
      <c r="BM1327" s="108"/>
      <c r="BN1327" s="108"/>
      <c r="BO1327" s="108"/>
      <c r="BP1327" s="108"/>
      <c r="BQ1327" s="108"/>
      <c r="BR1327" s="108"/>
      <c r="BS1327" s="108"/>
      <c r="BT1327" s="108"/>
      <c r="BU1327" s="108"/>
      <c r="BV1327" s="108"/>
      <c r="BW1327" s="108"/>
      <c r="BX1327" s="108"/>
      <c r="BY1327" s="108"/>
      <c r="BZ1327" s="108"/>
      <c r="CA1327" s="108"/>
      <c r="CB1327" s="108"/>
      <c r="CC1327" s="108"/>
      <c r="CD1327" s="108"/>
      <c r="CE1327" s="108"/>
      <c r="CF1327" s="108"/>
      <c r="CG1327" s="108"/>
      <c r="CH1327" s="108"/>
      <c r="CI1327" s="108"/>
      <c r="CJ1327" s="108"/>
      <c r="CK1327" s="108"/>
      <c r="CL1327" s="108"/>
      <c r="CM1327" s="108"/>
      <c r="CN1327" s="110"/>
      <c r="CO1327" s="111"/>
      <c r="CP1327" s="110"/>
      <c r="CQ1327" s="111"/>
      <c r="CR1327" s="110"/>
      <c r="CS1327" s="111"/>
      <c r="CT1327" s="112">
        <f t="shared" si="333"/>
        <v>0</v>
      </c>
      <c r="CU1327" s="113"/>
      <c r="CV1327" s="114"/>
      <c r="CW1327" s="115"/>
      <c r="CX1327" s="116"/>
      <c r="CY1327" s="117"/>
      <c r="CZ1327" s="116"/>
      <c r="DA1327" s="113"/>
      <c r="DB1327" s="114"/>
      <c r="DC1327" s="64"/>
      <c r="DD1327" s="118"/>
    </row>
    <row r="1328" spans="1:108" s="119" customFormat="1" ht="22.5" outlineLevel="2">
      <c r="A1328" s="178">
        <v>40452</v>
      </c>
      <c r="B1328" s="164" t="s">
        <v>582</v>
      </c>
      <c r="C1328" s="164" t="s">
        <v>814</v>
      </c>
      <c r="D1328" s="166" t="s">
        <v>1262</v>
      </c>
      <c r="E1328" s="163"/>
      <c r="F1328" s="105"/>
      <c r="G1328" s="105"/>
      <c r="H1328" s="105">
        <f>45*5</f>
        <v>225</v>
      </c>
      <c r="I1328" s="105">
        <v>45</v>
      </c>
      <c r="J1328" s="105"/>
      <c r="K1328" s="105">
        <v>5</v>
      </c>
      <c r="L1328" s="105">
        <v>1</v>
      </c>
      <c r="M1328" s="105"/>
      <c r="N1328" s="105"/>
      <c r="O1328" s="105"/>
      <c r="P1328" s="105"/>
      <c r="Q1328" s="105"/>
      <c r="R1328" s="105"/>
      <c r="S1328" s="105"/>
      <c r="T1328" s="106">
        <v>300</v>
      </c>
      <c r="U1328" s="151" t="s">
        <v>414</v>
      </c>
      <c r="V1328" s="1"/>
      <c r="W1328" s="68">
        <f t="shared" si="328"/>
        <v>0</v>
      </c>
      <c r="X1328" s="68">
        <f t="shared" si="329"/>
        <v>0</v>
      </c>
      <c r="Y1328" s="68">
        <f t="shared" si="330"/>
        <v>0</v>
      </c>
      <c r="Z1328" s="68">
        <f t="shared" si="331"/>
        <v>0</v>
      </c>
      <c r="AA1328" s="68"/>
      <c r="AB1328" s="68">
        <v>0</v>
      </c>
      <c r="AC1328" s="69">
        <f t="shared" si="332"/>
        <v>0</v>
      </c>
      <c r="AD1328" s="70">
        <v>0</v>
      </c>
      <c r="AE1328" s="63"/>
      <c r="AF1328" s="72"/>
      <c r="AG1328" s="63" t="s">
        <v>954</v>
      </c>
      <c r="AH1328" s="23" t="s">
        <v>955</v>
      </c>
      <c r="AI1328" s="60"/>
      <c r="AJ1328" s="124" t="s">
        <v>842</v>
      </c>
      <c r="AK1328" s="121" t="s">
        <v>1960</v>
      </c>
      <c r="AL1328" s="107"/>
      <c r="AM1328" s="108"/>
      <c r="AN1328" s="109"/>
      <c r="AO1328" s="108"/>
      <c r="AP1328" s="108"/>
      <c r="AQ1328" s="108"/>
      <c r="AR1328" s="108"/>
      <c r="AS1328" s="108"/>
      <c r="AT1328" s="108"/>
      <c r="AU1328" s="108"/>
      <c r="AV1328" s="108"/>
      <c r="AW1328" s="108"/>
      <c r="AX1328" s="108"/>
      <c r="AY1328" s="108"/>
      <c r="AZ1328" s="108"/>
      <c r="BA1328" s="108"/>
      <c r="BB1328" s="108"/>
      <c r="BC1328" s="108"/>
      <c r="BD1328" s="108"/>
      <c r="BE1328" s="108"/>
      <c r="BF1328" s="108"/>
      <c r="BG1328" s="108"/>
      <c r="BH1328" s="108"/>
      <c r="BI1328" s="108"/>
      <c r="BJ1328" s="108"/>
      <c r="BK1328" s="108"/>
      <c r="BL1328" s="108"/>
      <c r="BM1328" s="108"/>
      <c r="BN1328" s="108"/>
      <c r="BO1328" s="108"/>
      <c r="BP1328" s="108"/>
      <c r="BQ1328" s="108"/>
      <c r="BR1328" s="108"/>
      <c r="BS1328" s="108"/>
      <c r="BT1328" s="108"/>
      <c r="BU1328" s="108"/>
      <c r="BV1328" s="108"/>
      <c r="BW1328" s="108"/>
      <c r="BX1328" s="108"/>
      <c r="BY1328" s="108"/>
      <c r="BZ1328" s="108"/>
      <c r="CA1328" s="108"/>
      <c r="CB1328" s="108"/>
      <c r="CC1328" s="108"/>
      <c r="CD1328" s="108"/>
      <c r="CE1328" s="108"/>
      <c r="CF1328" s="108"/>
      <c r="CG1328" s="108"/>
      <c r="CH1328" s="108"/>
      <c r="CI1328" s="108"/>
      <c r="CJ1328" s="108"/>
      <c r="CK1328" s="108"/>
      <c r="CL1328" s="108"/>
      <c r="CM1328" s="108"/>
      <c r="CN1328" s="110"/>
      <c r="CO1328" s="111"/>
      <c r="CP1328" s="110"/>
      <c r="CQ1328" s="111"/>
      <c r="CR1328" s="110"/>
      <c r="CS1328" s="111"/>
      <c r="CT1328" s="112">
        <f t="shared" si="333"/>
        <v>0</v>
      </c>
      <c r="CU1328" s="113"/>
      <c r="CV1328" s="114"/>
      <c r="CW1328" s="115"/>
      <c r="CX1328" s="116"/>
      <c r="CY1328" s="117"/>
      <c r="CZ1328" s="116"/>
      <c r="DA1328" s="113"/>
      <c r="DB1328" s="114"/>
      <c r="DC1328" s="64"/>
      <c r="DD1328" s="118"/>
    </row>
    <row r="1329" spans="1:108" s="119" customFormat="1" ht="24" outlineLevel="2">
      <c r="A1329" s="178">
        <v>40452</v>
      </c>
      <c r="B1329" s="164" t="s">
        <v>582</v>
      </c>
      <c r="C1329" s="164" t="s">
        <v>815</v>
      </c>
      <c r="D1329" s="166" t="s">
        <v>1262</v>
      </c>
      <c r="E1329" s="163"/>
      <c r="F1329" s="105"/>
      <c r="G1329" s="105"/>
      <c r="H1329" s="105">
        <v>150</v>
      </c>
      <c r="I1329" s="105">
        <v>30</v>
      </c>
      <c r="J1329" s="105"/>
      <c r="K1329" s="105">
        <v>6</v>
      </c>
      <c r="L1329" s="105">
        <v>2</v>
      </c>
      <c r="M1329" s="105"/>
      <c r="N1329" s="105"/>
      <c r="O1329" s="105"/>
      <c r="P1329" s="105"/>
      <c r="Q1329" s="105"/>
      <c r="R1329" s="105"/>
      <c r="S1329" s="105"/>
      <c r="T1329" s="106">
        <v>150</v>
      </c>
      <c r="U1329" s="151" t="s">
        <v>414</v>
      </c>
      <c r="V1329" s="1"/>
      <c r="W1329" s="68">
        <f t="shared" si="328"/>
        <v>0</v>
      </c>
      <c r="X1329" s="68">
        <f t="shared" si="329"/>
        <v>0</v>
      </c>
      <c r="Y1329" s="68">
        <f t="shared" si="330"/>
        <v>0</v>
      </c>
      <c r="Z1329" s="68">
        <f t="shared" si="331"/>
        <v>0</v>
      </c>
      <c r="AA1329" s="68"/>
      <c r="AB1329" s="68">
        <v>0</v>
      </c>
      <c r="AC1329" s="69">
        <f t="shared" si="332"/>
        <v>0</v>
      </c>
      <c r="AD1329" s="70">
        <v>0</v>
      </c>
      <c r="AE1329" s="63"/>
      <c r="AF1329" s="72"/>
      <c r="AG1329" s="63" t="s">
        <v>954</v>
      </c>
      <c r="AH1329" s="23" t="s">
        <v>955</v>
      </c>
      <c r="AI1329" s="60"/>
      <c r="AJ1329" s="124" t="s">
        <v>842</v>
      </c>
      <c r="AK1329" s="121" t="s">
        <v>482</v>
      </c>
      <c r="AL1329" s="107"/>
      <c r="AM1329" s="108"/>
      <c r="AN1329" s="109"/>
      <c r="AO1329" s="108"/>
      <c r="AP1329" s="108"/>
      <c r="AQ1329" s="108"/>
      <c r="AR1329" s="108"/>
      <c r="AS1329" s="108"/>
      <c r="AT1329" s="108"/>
      <c r="AU1329" s="108"/>
      <c r="AV1329" s="108"/>
      <c r="AW1329" s="108"/>
      <c r="AX1329" s="108"/>
      <c r="AY1329" s="108"/>
      <c r="AZ1329" s="108"/>
      <c r="BA1329" s="108"/>
      <c r="BB1329" s="108"/>
      <c r="BC1329" s="108"/>
      <c r="BD1329" s="108"/>
      <c r="BE1329" s="108"/>
      <c r="BF1329" s="108"/>
      <c r="BG1329" s="108"/>
      <c r="BH1329" s="108"/>
      <c r="BI1329" s="108"/>
      <c r="BJ1329" s="108"/>
      <c r="BK1329" s="108"/>
      <c r="BL1329" s="108"/>
      <c r="BM1329" s="108"/>
      <c r="BN1329" s="108"/>
      <c r="BO1329" s="108"/>
      <c r="BP1329" s="108"/>
      <c r="BQ1329" s="108"/>
      <c r="BR1329" s="108"/>
      <c r="BS1329" s="108"/>
      <c r="BT1329" s="108"/>
      <c r="BU1329" s="108"/>
      <c r="BV1329" s="108"/>
      <c r="BW1329" s="108"/>
      <c r="BX1329" s="108"/>
      <c r="BY1329" s="108"/>
      <c r="BZ1329" s="108"/>
      <c r="CA1329" s="108"/>
      <c r="CB1329" s="108"/>
      <c r="CC1329" s="108"/>
      <c r="CD1329" s="108"/>
      <c r="CE1329" s="108"/>
      <c r="CF1329" s="108"/>
      <c r="CG1329" s="108"/>
      <c r="CH1329" s="108"/>
      <c r="CI1329" s="108"/>
      <c r="CJ1329" s="108"/>
      <c r="CK1329" s="108"/>
      <c r="CL1329" s="108"/>
      <c r="CM1329" s="108"/>
      <c r="CN1329" s="110"/>
      <c r="CO1329" s="111"/>
      <c r="CP1329" s="110"/>
      <c r="CQ1329" s="111"/>
      <c r="CR1329" s="110"/>
      <c r="CS1329" s="111"/>
      <c r="CT1329" s="112">
        <f t="shared" si="333"/>
        <v>0</v>
      </c>
      <c r="CU1329" s="113"/>
      <c r="CV1329" s="114"/>
      <c r="CW1329" s="115"/>
      <c r="CX1329" s="116"/>
      <c r="CY1329" s="117"/>
      <c r="CZ1329" s="116"/>
      <c r="DA1329" s="113"/>
      <c r="DB1329" s="114"/>
      <c r="DC1329" s="64"/>
      <c r="DD1329" s="118"/>
    </row>
    <row r="1330" spans="1:108" s="119" customFormat="1" ht="22.5" outlineLevel="2">
      <c r="A1330" s="178">
        <v>40452</v>
      </c>
      <c r="B1330" s="164" t="s">
        <v>582</v>
      </c>
      <c r="C1330" s="164" t="s">
        <v>816</v>
      </c>
      <c r="D1330" s="166" t="s">
        <v>1262</v>
      </c>
      <c r="E1330" s="163"/>
      <c r="F1330" s="105"/>
      <c r="G1330" s="105"/>
      <c r="H1330" s="105">
        <f>80*5</f>
        <v>400</v>
      </c>
      <c r="I1330" s="105">
        <v>80</v>
      </c>
      <c r="J1330" s="105"/>
      <c r="K1330" s="105">
        <v>15</v>
      </c>
      <c r="L1330" s="105">
        <v>3</v>
      </c>
      <c r="M1330" s="105"/>
      <c r="N1330" s="105"/>
      <c r="O1330" s="105"/>
      <c r="P1330" s="105"/>
      <c r="Q1330" s="105"/>
      <c r="R1330" s="105"/>
      <c r="S1330" s="105"/>
      <c r="T1330" s="106">
        <v>300</v>
      </c>
      <c r="U1330" s="151" t="s">
        <v>414</v>
      </c>
      <c r="V1330" s="1"/>
      <c r="W1330" s="68">
        <f t="shared" si="328"/>
        <v>0</v>
      </c>
      <c r="X1330" s="68">
        <f t="shared" si="329"/>
        <v>0</v>
      </c>
      <c r="Y1330" s="68">
        <f t="shared" si="330"/>
        <v>0</v>
      </c>
      <c r="Z1330" s="68">
        <f t="shared" si="331"/>
        <v>0</v>
      </c>
      <c r="AA1330" s="68"/>
      <c r="AB1330" s="68">
        <v>0</v>
      </c>
      <c r="AC1330" s="69">
        <f t="shared" si="332"/>
        <v>0</v>
      </c>
      <c r="AD1330" s="70">
        <v>0</v>
      </c>
      <c r="AE1330" s="63"/>
      <c r="AF1330" s="72"/>
      <c r="AG1330" s="63" t="s">
        <v>954</v>
      </c>
      <c r="AH1330" s="23" t="s">
        <v>955</v>
      </c>
      <c r="AI1330" s="60"/>
      <c r="AJ1330" s="124" t="s">
        <v>842</v>
      </c>
      <c r="AK1330" s="121" t="s">
        <v>1960</v>
      </c>
      <c r="AL1330" s="107"/>
      <c r="AM1330" s="108"/>
      <c r="AN1330" s="109"/>
      <c r="AO1330" s="108"/>
      <c r="AP1330" s="108"/>
      <c r="AQ1330" s="108"/>
      <c r="AR1330" s="108"/>
      <c r="AS1330" s="108"/>
      <c r="AT1330" s="108"/>
      <c r="AU1330" s="108"/>
      <c r="AV1330" s="108"/>
      <c r="AW1330" s="108"/>
      <c r="AX1330" s="108"/>
      <c r="AY1330" s="108"/>
      <c r="AZ1330" s="108"/>
      <c r="BA1330" s="108"/>
      <c r="BB1330" s="108"/>
      <c r="BC1330" s="108"/>
      <c r="BD1330" s="108"/>
      <c r="BE1330" s="108"/>
      <c r="BF1330" s="108"/>
      <c r="BG1330" s="108"/>
      <c r="BH1330" s="108"/>
      <c r="BI1330" s="108"/>
      <c r="BJ1330" s="108"/>
      <c r="BK1330" s="108"/>
      <c r="BL1330" s="108"/>
      <c r="BM1330" s="108"/>
      <c r="BN1330" s="108"/>
      <c r="BO1330" s="108"/>
      <c r="BP1330" s="108"/>
      <c r="BQ1330" s="108"/>
      <c r="BR1330" s="108"/>
      <c r="BS1330" s="108"/>
      <c r="BT1330" s="108"/>
      <c r="BU1330" s="108"/>
      <c r="BV1330" s="108"/>
      <c r="BW1330" s="108"/>
      <c r="BX1330" s="108"/>
      <c r="BY1330" s="108"/>
      <c r="BZ1330" s="108"/>
      <c r="CA1330" s="108"/>
      <c r="CB1330" s="108"/>
      <c r="CC1330" s="108"/>
      <c r="CD1330" s="108"/>
      <c r="CE1330" s="108"/>
      <c r="CF1330" s="108"/>
      <c r="CG1330" s="108"/>
      <c r="CH1330" s="108"/>
      <c r="CI1330" s="108"/>
      <c r="CJ1330" s="108"/>
      <c r="CK1330" s="108"/>
      <c r="CL1330" s="108"/>
      <c r="CM1330" s="108"/>
      <c r="CN1330" s="110"/>
      <c r="CO1330" s="111"/>
      <c r="CP1330" s="110"/>
      <c r="CQ1330" s="111"/>
      <c r="CR1330" s="110"/>
      <c r="CS1330" s="111"/>
      <c r="CT1330" s="112">
        <f t="shared" si="333"/>
        <v>0</v>
      </c>
      <c r="CU1330" s="113"/>
      <c r="CV1330" s="114"/>
      <c r="CW1330" s="115"/>
      <c r="CX1330" s="116"/>
      <c r="CY1330" s="117"/>
      <c r="CZ1330" s="116"/>
      <c r="DA1330" s="113"/>
      <c r="DB1330" s="114"/>
      <c r="DC1330" s="64"/>
      <c r="DD1330" s="118"/>
    </row>
    <row r="1331" spans="1:108" s="119" customFormat="1" ht="22.5" outlineLevel="2">
      <c r="A1331" s="178">
        <v>40452</v>
      </c>
      <c r="B1331" s="164" t="s">
        <v>582</v>
      </c>
      <c r="C1331" s="164" t="s">
        <v>1073</v>
      </c>
      <c r="D1331" s="166" t="s">
        <v>1262</v>
      </c>
      <c r="E1331" s="163"/>
      <c r="F1331" s="105"/>
      <c r="G1331" s="105"/>
      <c r="H1331" s="105">
        <f>15*5</f>
        <v>75</v>
      </c>
      <c r="I1331" s="105">
        <v>15</v>
      </c>
      <c r="J1331" s="105"/>
      <c r="K1331" s="105">
        <v>12</v>
      </c>
      <c r="L1331" s="105"/>
      <c r="M1331" s="105"/>
      <c r="N1331" s="105"/>
      <c r="O1331" s="105"/>
      <c r="P1331" s="105"/>
      <c r="Q1331" s="105"/>
      <c r="R1331" s="105"/>
      <c r="S1331" s="105"/>
      <c r="T1331" s="106">
        <v>250</v>
      </c>
      <c r="U1331" s="151" t="s">
        <v>414</v>
      </c>
      <c r="V1331" s="1"/>
      <c r="W1331" s="68">
        <f t="shared" si="328"/>
        <v>0</v>
      </c>
      <c r="X1331" s="68">
        <f t="shared" si="329"/>
        <v>0</v>
      </c>
      <c r="Y1331" s="68">
        <f t="shared" si="330"/>
        <v>0</v>
      </c>
      <c r="Z1331" s="68">
        <f t="shared" si="331"/>
        <v>0</v>
      </c>
      <c r="AA1331" s="68"/>
      <c r="AB1331" s="68">
        <v>0</v>
      </c>
      <c r="AC1331" s="69">
        <f t="shared" si="332"/>
        <v>0</v>
      </c>
      <c r="AD1331" s="70">
        <v>0</v>
      </c>
      <c r="AE1331" s="63"/>
      <c r="AF1331" s="72"/>
      <c r="AG1331" s="63" t="s">
        <v>954</v>
      </c>
      <c r="AH1331" s="23" t="s">
        <v>955</v>
      </c>
      <c r="AI1331" s="60"/>
      <c r="AJ1331" s="124" t="s">
        <v>842</v>
      </c>
      <c r="AK1331" s="121" t="s">
        <v>1960</v>
      </c>
      <c r="AL1331" s="107"/>
      <c r="AM1331" s="108"/>
      <c r="AN1331" s="109"/>
      <c r="AO1331" s="108"/>
      <c r="AP1331" s="108"/>
      <c r="AQ1331" s="108"/>
      <c r="AR1331" s="108"/>
      <c r="AS1331" s="108"/>
      <c r="AT1331" s="108"/>
      <c r="AU1331" s="108"/>
      <c r="AV1331" s="108"/>
      <c r="AW1331" s="108"/>
      <c r="AX1331" s="108"/>
      <c r="AY1331" s="108"/>
      <c r="AZ1331" s="108"/>
      <c r="BA1331" s="108"/>
      <c r="BB1331" s="108"/>
      <c r="BC1331" s="108"/>
      <c r="BD1331" s="108"/>
      <c r="BE1331" s="108"/>
      <c r="BF1331" s="108"/>
      <c r="BG1331" s="108"/>
      <c r="BH1331" s="108"/>
      <c r="BI1331" s="108"/>
      <c r="BJ1331" s="108"/>
      <c r="BK1331" s="108"/>
      <c r="BL1331" s="108"/>
      <c r="BM1331" s="108"/>
      <c r="BN1331" s="108"/>
      <c r="BO1331" s="108"/>
      <c r="BP1331" s="108"/>
      <c r="BQ1331" s="108"/>
      <c r="BR1331" s="108"/>
      <c r="BS1331" s="108"/>
      <c r="BT1331" s="108"/>
      <c r="BU1331" s="108"/>
      <c r="BV1331" s="108"/>
      <c r="BW1331" s="108"/>
      <c r="BX1331" s="108"/>
      <c r="BY1331" s="108"/>
      <c r="BZ1331" s="108"/>
      <c r="CA1331" s="108"/>
      <c r="CB1331" s="108"/>
      <c r="CC1331" s="108"/>
      <c r="CD1331" s="108"/>
      <c r="CE1331" s="108"/>
      <c r="CF1331" s="108"/>
      <c r="CG1331" s="108"/>
      <c r="CH1331" s="108"/>
      <c r="CI1331" s="108"/>
      <c r="CJ1331" s="108"/>
      <c r="CK1331" s="108"/>
      <c r="CL1331" s="108"/>
      <c r="CM1331" s="108"/>
      <c r="CN1331" s="110"/>
      <c r="CO1331" s="111"/>
      <c r="CP1331" s="110"/>
      <c r="CQ1331" s="111"/>
      <c r="CR1331" s="110"/>
      <c r="CS1331" s="111"/>
      <c r="CT1331" s="112">
        <f t="shared" si="333"/>
        <v>0</v>
      </c>
      <c r="CU1331" s="113"/>
      <c r="CV1331" s="114"/>
      <c r="CW1331" s="115"/>
      <c r="CX1331" s="116"/>
      <c r="CY1331" s="117"/>
      <c r="CZ1331" s="116"/>
      <c r="DA1331" s="113"/>
      <c r="DB1331" s="114"/>
      <c r="DC1331" s="64"/>
      <c r="DD1331" s="118"/>
    </row>
    <row r="1332" spans="1:108" s="119" customFormat="1" ht="22.5" outlineLevel="2">
      <c r="A1332" s="178">
        <v>40452</v>
      </c>
      <c r="B1332" s="164" t="s">
        <v>582</v>
      </c>
      <c r="C1332" s="164" t="s">
        <v>817</v>
      </c>
      <c r="D1332" s="166" t="s">
        <v>1262</v>
      </c>
      <c r="E1332" s="163"/>
      <c r="F1332" s="105"/>
      <c r="G1332" s="105"/>
      <c r="H1332" s="105">
        <v>300</v>
      </c>
      <c r="I1332" s="105">
        <v>60</v>
      </c>
      <c r="J1332" s="105"/>
      <c r="K1332" s="105">
        <v>10</v>
      </c>
      <c r="L1332" s="105">
        <v>5</v>
      </c>
      <c r="M1332" s="105"/>
      <c r="N1332" s="105"/>
      <c r="O1332" s="105"/>
      <c r="P1332" s="105"/>
      <c r="Q1332" s="105"/>
      <c r="R1332" s="105"/>
      <c r="S1332" s="105"/>
      <c r="T1332" s="106">
        <v>100</v>
      </c>
      <c r="U1332" s="151" t="s">
        <v>414</v>
      </c>
      <c r="V1332" s="1"/>
      <c r="W1332" s="68">
        <f t="shared" si="328"/>
        <v>0</v>
      </c>
      <c r="X1332" s="68">
        <f t="shared" si="329"/>
        <v>0</v>
      </c>
      <c r="Y1332" s="68">
        <f t="shared" si="330"/>
        <v>0</v>
      </c>
      <c r="Z1332" s="68">
        <f t="shared" si="331"/>
        <v>0</v>
      </c>
      <c r="AA1332" s="68"/>
      <c r="AB1332" s="68">
        <v>0</v>
      </c>
      <c r="AC1332" s="69">
        <f t="shared" si="332"/>
        <v>0</v>
      </c>
      <c r="AD1332" s="70">
        <v>0</v>
      </c>
      <c r="AE1332" s="63"/>
      <c r="AF1332" s="72"/>
      <c r="AG1332" s="63" t="s">
        <v>954</v>
      </c>
      <c r="AH1332" s="23" t="s">
        <v>955</v>
      </c>
      <c r="AI1332" s="60"/>
      <c r="AJ1332" s="124" t="s">
        <v>842</v>
      </c>
      <c r="AK1332" s="121" t="s">
        <v>1960</v>
      </c>
      <c r="AL1332" s="107"/>
      <c r="AM1332" s="108"/>
      <c r="AN1332" s="109"/>
      <c r="AO1332" s="108"/>
      <c r="AP1332" s="108"/>
      <c r="AQ1332" s="108"/>
      <c r="AR1332" s="108"/>
      <c r="AS1332" s="108"/>
      <c r="AT1332" s="108"/>
      <c r="AU1332" s="108"/>
      <c r="AV1332" s="108"/>
      <c r="AW1332" s="108"/>
      <c r="AX1332" s="108"/>
      <c r="AY1332" s="108"/>
      <c r="AZ1332" s="108"/>
      <c r="BA1332" s="108"/>
      <c r="BB1332" s="108"/>
      <c r="BC1332" s="108"/>
      <c r="BD1332" s="108"/>
      <c r="BE1332" s="108"/>
      <c r="BF1332" s="108"/>
      <c r="BG1332" s="108"/>
      <c r="BH1332" s="108"/>
      <c r="BI1332" s="108"/>
      <c r="BJ1332" s="108"/>
      <c r="BK1332" s="108"/>
      <c r="BL1332" s="108"/>
      <c r="BM1332" s="108"/>
      <c r="BN1332" s="108"/>
      <c r="BO1332" s="108"/>
      <c r="BP1332" s="108"/>
      <c r="BQ1332" s="108"/>
      <c r="BR1332" s="108"/>
      <c r="BS1332" s="108"/>
      <c r="BT1332" s="108"/>
      <c r="BU1332" s="108"/>
      <c r="BV1332" s="108"/>
      <c r="BW1332" s="108"/>
      <c r="BX1332" s="108"/>
      <c r="BY1332" s="108"/>
      <c r="BZ1332" s="108"/>
      <c r="CA1332" s="108"/>
      <c r="CB1332" s="108"/>
      <c r="CC1332" s="108"/>
      <c r="CD1332" s="108"/>
      <c r="CE1332" s="108"/>
      <c r="CF1332" s="108"/>
      <c r="CG1332" s="108"/>
      <c r="CH1332" s="108"/>
      <c r="CI1332" s="108"/>
      <c r="CJ1332" s="108"/>
      <c r="CK1332" s="108"/>
      <c r="CL1332" s="108"/>
      <c r="CM1332" s="108"/>
      <c r="CN1332" s="110"/>
      <c r="CO1332" s="111"/>
      <c r="CP1332" s="110"/>
      <c r="CQ1332" s="111"/>
      <c r="CR1332" s="110"/>
      <c r="CS1332" s="111"/>
      <c r="CT1332" s="112">
        <f t="shared" si="333"/>
        <v>0</v>
      </c>
      <c r="CU1332" s="113"/>
      <c r="CV1332" s="114"/>
      <c r="CW1332" s="115"/>
      <c r="CX1332" s="116"/>
      <c r="CY1332" s="117"/>
      <c r="CZ1332" s="116"/>
      <c r="DA1332" s="113"/>
      <c r="DB1332" s="114"/>
      <c r="DC1332" s="64"/>
      <c r="DD1332" s="118"/>
    </row>
    <row r="1333" spans="1:108" s="119" customFormat="1" ht="22.5" outlineLevel="2">
      <c r="A1333" s="178">
        <v>40452</v>
      </c>
      <c r="B1333" s="164" t="s">
        <v>582</v>
      </c>
      <c r="C1333" s="164" t="s">
        <v>830</v>
      </c>
      <c r="D1333" s="166" t="s">
        <v>1262</v>
      </c>
      <c r="E1333" s="163"/>
      <c r="F1333" s="105"/>
      <c r="G1333" s="105"/>
      <c r="H1333" s="105">
        <f>25*5</f>
        <v>125</v>
      </c>
      <c r="I1333" s="105">
        <v>25</v>
      </c>
      <c r="J1333" s="105"/>
      <c r="K1333" s="105"/>
      <c r="L1333" s="105">
        <v>4</v>
      </c>
      <c r="M1333" s="105"/>
      <c r="N1333" s="105"/>
      <c r="O1333" s="105"/>
      <c r="P1333" s="105"/>
      <c r="Q1333" s="105"/>
      <c r="R1333" s="105"/>
      <c r="S1333" s="105"/>
      <c r="T1333" s="106">
        <v>60</v>
      </c>
      <c r="U1333" s="151" t="s">
        <v>414</v>
      </c>
      <c r="V1333" s="1"/>
      <c r="W1333" s="68">
        <f t="shared" si="328"/>
        <v>0</v>
      </c>
      <c r="X1333" s="68">
        <f t="shared" si="329"/>
        <v>0</v>
      </c>
      <c r="Y1333" s="68">
        <f t="shared" si="330"/>
        <v>0</v>
      </c>
      <c r="Z1333" s="68">
        <f t="shared" si="331"/>
        <v>0</v>
      </c>
      <c r="AA1333" s="68"/>
      <c r="AB1333" s="68">
        <v>0</v>
      </c>
      <c r="AC1333" s="69">
        <f t="shared" si="332"/>
        <v>0</v>
      </c>
      <c r="AD1333" s="70">
        <v>0</v>
      </c>
      <c r="AE1333" s="63"/>
      <c r="AF1333" s="72"/>
      <c r="AG1333" s="63" t="s">
        <v>954</v>
      </c>
      <c r="AH1333" s="23" t="s">
        <v>955</v>
      </c>
      <c r="AI1333" s="60"/>
      <c r="AJ1333" s="124" t="s">
        <v>842</v>
      </c>
      <c r="AK1333" s="121" t="s">
        <v>1960</v>
      </c>
      <c r="AL1333" s="107"/>
      <c r="AM1333" s="108"/>
      <c r="AN1333" s="109"/>
      <c r="AO1333" s="108"/>
      <c r="AP1333" s="108"/>
      <c r="AQ1333" s="108"/>
      <c r="AR1333" s="108"/>
      <c r="AS1333" s="108"/>
      <c r="AT1333" s="108"/>
      <c r="AU1333" s="108"/>
      <c r="AV1333" s="108"/>
      <c r="AW1333" s="108"/>
      <c r="AX1333" s="108"/>
      <c r="AY1333" s="108"/>
      <c r="AZ1333" s="108"/>
      <c r="BA1333" s="108"/>
      <c r="BB1333" s="108"/>
      <c r="BC1333" s="108"/>
      <c r="BD1333" s="108"/>
      <c r="BE1333" s="108"/>
      <c r="BF1333" s="108"/>
      <c r="BG1333" s="108"/>
      <c r="BH1333" s="108"/>
      <c r="BI1333" s="108"/>
      <c r="BJ1333" s="108"/>
      <c r="BK1333" s="108"/>
      <c r="BL1333" s="108"/>
      <c r="BM1333" s="108"/>
      <c r="BN1333" s="108"/>
      <c r="BO1333" s="108"/>
      <c r="BP1333" s="108"/>
      <c r="BQ1333" s="108"/>
      <c r="BR1333" s="108"/>
      <c r="BS1333" s="108"/>
      <c r="BT1333" s="108"/>
      <c r="BU1333" s="108"/>
      <c r="BV1333" s="108"/>
      <c r="BW1333" s="108"/>
      <c r="BX1333" s="108"/>
      <c r="BY1333" s="108"/>
      <c r="BZ1333" s="108"/>
      <c r="CA1333" s="108"/>
      <c r="CB1333" s="108"/>
      <c r="CC1333" s="108"/>
      <c r="CD1333" s="108"/>
      <c r="CE1333" s="108"/>
      <c r="CF1333" s="108"/>
      <c r="CG1333" s="108"/>
      <c r="CH1333" s="108"/>
      <c r="CI1333" s="108"/>
      <c r="CJ1333" s="108"/>
      <c r="CK1333" s="108"/>
      <c r="CL1333" s="108"/>
      <c r="CM1333" s="108"/>
      <c r="CN1333" s="110"/>
      <c r="CO1333" s="111"/>
      <c r="CP1333" s="110"/>
      <c r="CQ1333" s="111"/>
      <c r="CR1333" s="110"/>
      <c r="CS1333" s="111"/>
      <c r="CT1333" s="112">
        <f t="shared" si="333"/>
        <v>0</v>
      </c>
      <c r="CU1333" s="113"/>
      <c r="CV1333" s="114"/>
      <c r="CW1333" s="115"/>
      <c r="CX1333" s="116"/>
      <c r="CY1333" s="117"/>
      <c r="CZ1333" s="116"/>
      <c r="DA1333" s="113"/>
      <c r="DB1333" s="114"/>
      <c r="DC1333" s="64"/>
      <c r="DD1333" s="118"/>
    </row>
    <row r="1334" spans="1:108" s="119" customFormat="1" ht="22.5" outlineLevel="2">
      <c r="A1334" s="178">
        <v>40452</v>
      </c>
      <c r="B1334" s="164" t="s">
        <v>582</v>
      </c>
      <c r="C1334" s="164" t="s">
        <v>2042</v>
      </c>
      <c r="D1334" s="166" t="s">
        <v>1262</v>
      </c>
      <c r="E1334" s="163"/>
      <c r="F1334" s="105"/>
      <c r="G1334" s="105"/>
      <c r="H1334" s="105">
        <v>50</v>
      </c>
      <c r="I1334" s="105">
        <v>10</v>
      </c>
      <c r="J1334" s="105"/>
      <c r="K1334" s="105">
        <v>10</v>
      </c>
      <c r="L1334" s="105">
        <v>15</v>
      </c>
      <c r="M1334" s="105"/>
      <c r="N1334" s="105"/>
      <c r="O1334" s="105"/>
      <c r="P1334" s="105"/>
      <c r="Q1334" s="105"/>
      <c r="R1334" s="105"/>
      <c r="S1334" s="105"/>
      <c r="T1334" s="106">
        <v>150</v>
      </c>
      <c r="U1334" s="151" t="s">
        <v>414</v>
      </c>
      <c r="V1334" s="1"/>
      <c r="W1334" s="68">
        <f t="shared" si="328"/>
        <v>0</v>
      </c>
      <c r="X1334" s="68">
        <f t="shared" si="329"/>
        <v>0</v>
      </c>
      <c r="Y1334" s="68">
        <f t="shared" si="330"/>
        <v>0</v>
      </c>
      <c r="Z1334" s="68">
        <f t="shared" si="331"/>
        <v>0</v>
      </c>
      <c r="AA1334" s="68"/>
      <c r="AB1334" s="68">
        <v>0</v>
      </c>
      <c r="AC1334" s="69">
        <f t="shared" si="332"/>
        <v>0</v>
      </c>
      <c r="AD1334" s="70">
        <v>0</v>
      </c>
      <c r="AE1334" s="63"/>
      <c r="AF1334" s="72"/>
      <c r="AG1334" s="63" t="s">
        <v>954</v>
      </c>
      <c r="AH1334" s="23" t="s">
        <v>955</v>
      </c>
      <c r="AI1334" s="60"/>
      <c r="AJ1334" s="124" t="s">
        <v>842</v>
      </c>
      <c r="AK1334" s="121" t="s">
        <v>1960</v>
      </c>
      <c r="AL1334" s="107"/>
      <c r="AM1334" s="108"/>
      <c r="AN1334" s="109"/>
      <c r="AO1334" s="108"/>
      <c r="AP1334" s="108"/>
      <c r="AQ1334" s="108"/>
      <c r="AR1334" s="108"/>
      <c r="AS1334" s="108"/>
      <c r="AT1334" s="108"/>
      <c r="AU1334" s="108"/>
      <c r="AV1334" s="108"/>
      <c r="AW1334" s="108"/>
      <c r="AX1334" s="108"/>
      <c r="AY1334" s="108"/>
      <c r="AZ1334" s="108"/>
      <c r="BA1334" s="108"/>
      <c r="BB1334" s="108"/>
      <c r="BC1334" s="108"/>
      <c r="BD1334" s="108"/>
      <c r="BE1334" s="108"/>
      <c r="BF1334" s="108"/>
      <c r="BG1334" s="108"/>
      <c r="BH1334" s="108"/>
      <c r="BI1334" s="108"/>
      <c r="BJ1334" s="108"/>
      <c r="BK1334" s="108"/>
      <c r="BL1334" s="108"/>
      <c r="BM1334" s="108"/>
      <c r="BN1334" s="108"/>
      <c r="BO1334" s="108"/>
      <c r="BP1334" s="108"/>
      <c r="BQ1334" s="108"/>
      <c r="BR1334" s="108"/>
      <c r="BS1334" s="108"/>
      <c r="BT1334" s="108"/>
      <c r="BU1334" s="108"/>
      <c r="BV1334" s="108"/>
      <c r="BW1334" s="108"/>
      <c r="BX1334" s="108"/>
      <c r="BY1334" s="108"/>
      <c r="BZ1334" s="108"/>
      <c r="CA1334" s="108"/>
      <c r="CB1334" s="108"/>
      <c r="CC1334" s="108"/>
      <c r="CD1334" s="108"/>
      <c r="CE1334" s="108"/>
      <c r="CF1334" s="108"/>
      <c r="CG1334" s="108"/>
      <c r="CH1334" s="108"/>
      <c r="CI1334" s="108"/>
      <c r="CJ1334" s="108"/>
      <c r="CK1334" s="108"/>
      <c r="CL1334" s="108"/>
      <c r="CM1334" s="108"/>
      <c r="CN1334" s="110"/>
      <c r="CO1334" s="111"/>
      <c r="CP1334" s="110"/>
      <c r="CQ1334" s="111"/>
      <c r="CR1334" s="110"/>
      <c r="CS1334" s="111"/>
      <c r="CT1334" s="112">
        <f t="shared" si="333"/>
        <v>0</v>
      </c>
      <c r="CU1334" s="113"/>
      <c r="CV1334" s="114"/>
      <c r="CW1334" s="115"/>
      <c r="CX1334" s="116"/>
      <c r="CY1334" s="117"/>
      <c r="CZ1334" s="116"/>
      <c r="DA1334" s="113"/>
      <c r="DB1334" s="114"/>
      <c r="DC1334" s="64"/>
      <c r="DD1334" s="118"/>
    </row>
    <row r="1335" spans="1:108" s="119" customFormat="1" ht="22.5" outlineLevel="2">
      <c r="A1335" s="178">
        <v>40452</v>
      </c>
      <c r="B1335" s="164" t="s">
        <v>582</v>
      </c>
      <c r="C1335" s="164" t="s">
        <v>831</v>
      </c>
      <c r="D1335" s="166" t="s">
        <v>1262</v>
      </c>
      <c r="E1335" s="163"/>
      <c r="F1335" s="105"/>
      <c r="G1335" s="105"/>
      <c r="H1335" s="105">
        <f>25*5</f>
        <v>125</v>
      </c>
      <c r="I1335" s="105">
        <v>25</v>
      </c>
      <c r="J1335" s="105"/>
      <c r="K1335" s="105">
        <v>15</v>
      </c>
      <c r="L1335" s="105">
        <v>2</v>
      </c>
      <c r="M1335" s="105"/>
      <c r="N1335" s="105"/>
      <c r="O1335" s="105"/>
      <c r="P1335" s="105"/>
      <c r="Q1335" s="105"/>
      <c r="R1335" s="105"/>
      <c r="S1335" s="105"/>
      <c r="T1335" s="106">
        <v>200</v>
      </c>
      <c r="U1335" s="151" t="s">
        <v>414</v>
      </c>
      <c r="V1335" s="1"/>
      <c r="W1335" s="68">
        <f t="shared" si="328"/>
        <v>0</v>
      </c>
      <c r="X1335" s="68">
        <f t="shared" si="329"/>
        <v>0</v>
      </c>
      <c r="Y1335" s="68">
        <f t="shared" si="330"/>
        <v>0</v>
      </c>
      <c r="Z1335" s="68">
        <f t="shared" si="331"/>
        <v>0</v>
      </c>
      <c r="AA1335" s="68"/>
      <c r="AB1335" s="68">
        <v>0</v>
      </c>
      <c r="AC1335" s="69">
        <f t="shared" si="332"/>
        <v>0</v>
      </c>
      <c r="AD1335" s="70">
        <v>0</v>
      </c>
      <c r="AE1335" s="63"/>
      <c r="AF1335" s="72"/>
      <c r="AG1335" s="63" t="s">
        <v>954</v>
      </c>
      <c r="AH1335" s="23" t="s">
        <v>955</v>
      </c>
      <c r="AI1335" s="60"/>
      <c r="AJ1335" s="124" t="s">
        <v>842</v>
      </c>
      <c r="AK1335" s="121" t="s">
        <v>1960</v>
      </c>
      <c r="AL1335" s="107"/>
      <c r="AM1335" s="108"/>
      <c r="AN1335" s="109"/>
      <c r="AO1335" s="108"/>
      <c r="AP1335" s="108"/>
      <c r="AQ1335" s="108"/>
      <c r="AR1335" s="108"/>
      <c r="AS1335" s="108"/>
      <c r="AT1335" s="108"/>
      <c r="AU1335" s="108"/>
      <c r="AV1335" s="108"/>
      <c r="AW1335" s="108"/>
      <c r="AX1335" s="108"/>
      <c r="AY1335" s="108"/>
      <c r="AZ1335" s="108"/>
      <c r="BA1335" s="108"/>
      <c r="BB1335" s="108"/>
      <c r="BC1335" s="108"/>
      <c r="BD1335" s="108"/>
      <c r="BE1335" s="108"/>
      <c r="BF1335" s="108"/>
      <c r="BG1335" s="108"/>
      <c r="BH1335" s="108"/>
      <c r="BI1335" s="108"/>
      <c r="BJ1335" s="108"/>
      <c r="BK1335" s="108"/>
      <c r="BL1335" s="108"/>
      <c r="BM1335" s="108"/>
      <c r="BN1335" s="108"/>
      <c r="BO1335" s="108"/>
      <c r="BP1335" s="108"/>
      <c r="BQ1335" s="108"/>
      <c r="BR1335" s="108"/>
      <c r="BS1335" s="108"/>
      <c r="BT1335" s="108"/>
      <c r="BU1335" s="108"/>
      <c r="BV1335" s="108"/>
      <c r="BW1335" s="108"/>
      <c r="BX1335" s="108"/>
      <c r="BY1335" s="108"/>
      <c r="BZ1335" s="108"/>
      <c r="CA1335" s="108"/>
      <c r="CB1335" s="108"/>
      <c r="CC1335" s="108"/>
      <c r="CD1335" s="108"/>
      <c r="CE1335" s="108"/>
      <c r="CF1335" s="108"/>
      <c r="CG1335" s="108"/>
      <c r="CH1335" s="108"/>
      <c r="CI1335" s="108"/>
      <c r="CJ1335" s="108"/>
      <c r="CK1335" s="108"/>
      <c r="CL1335" s="108"/>
      <c r="CM1335" s="108"/>
      <c r="CN1335" s="110"/>
      <c r="CO1335" s="111"/>
      <c r="CP1335" s="110"/>
      <c r="CQ1335" s="111"/>
      <c r="CR1335" s="110"/>
      <c r="CS1335" s="111"/>
      <c r="CT1335" s="112">
        <f t="shared" si="333"/>
        <v>0</v>
      </c>
      <c r="CU1335" s="113"/>
      <c r="CV1335" s="114"/>
      <c r="CW1335" s="115"/>
      <c r="CX1335" s="116"/>
      <c r="CY1335" s="117"/>
      <c r="CZ1335" s="116"/>
      <c r="DA1335" s="113"/>
      <c r="DB1335" s="114"/>
      <c r="DC1335" s="64"/>
      <c r="DD1335" s="118"/>
    </row>
    <row r="1336" spans="1:108" s="119" customFormat="1" ht="22.5" outlineLevel="2">
      <c r="A1336" s="178">
        <v>40452</v>
      </c>
      <c r="B1336" s="164" t="s">
        <v>582</v>
      </c>
      <c r="C1336" s="164" t="s">
        <v>878</v>
      </c>
      <c r="D1336" s="166" t="s">
        <v>1262</v>
      </c>
      <c r="E1336" s="163"/>
      <c r="F1336" s="105"/>
      <c r="G1336" s="105"/>
      <c r="H1336" s="105">
        <v>50</v>
      </c>
      <c r="I1336" s="105">
        <v>10</v>
      </c>
      <c r="J1336" s="105">
        <v>3</v>
      </c>
      <c r="K1336" s="105">
        <v>2</v>
      </c>
      <c r="L1336" s="105">
        <v>3</v>
      </c>
      <c r="M1336" s="105"/>
      <c r="N1336" s="105"/>
      <c r="O1336" s="105"/>
      <c r="P1336" s="105"/>
      <c r="Q1336" s="105"/>
      <c r="R1336" s="105"/>
      <c r="S1336" s="105"/>
      <c r="T1336" s="106">
        <v>350</v>
      </c>
      <c r="U1336" s="130"/>
      <c r="V1336" s="1"/>
      <c r="W1336" s="68">
        <f t="shared" si="328"/>
        <v>0</v>
      </c>
      <c r="X1336" s="68">
        <f t="shared" si="329"/>
        <v>0</v>
      </c>
      <c r="Y1336" s="68">
        <f t="shared" si="330"/>
        <v>0</v>
      </c>
      <c r="Z1336" s="68">
        <f t="shared" si="331"/>
        <v>0</v>
      </c>
      <c r="AA1336" s="68"/>
      <c r="AB1336" s="68">
        <v>0</v>
      </c>
      <c r="AC1336" s="69">
        <f t="shared" si="332"/>
        <v>0</v>
      </c>
      <c r="AD1336" s="70">
        <v>0</v>
      </c>
      <c r="AE1336" s="63"/>
      <c r="AF1336" s="72"/>
      <c r="AG1336" s="63" t="s">
        <v>954</v>
      </c>
      <c r="AH1336" s="23" t="s">
        <v>955</v>
      </c>
      <c r="AI1336" s="60"/>
      <c r="AJ1336" s="124" t="s">
        <v>842</v>
      </c>
      <c r="AK1336" s="121" t="s">
        <v>1960</v>
      </c>
      <c r="AL1336" s="107"/>
      <c r="AM1336" s="108"/>
      <c r="AN1336" s="109"/>
      <c r="AO1336" s="108"/>
      <c r="AP1336" s="108"/>
      <c r="AQ1336" s="108"/>
      <c r="AR1336" s="108"/>
      <c r="AS1336" s="108"/>
      <c r="AT1336" s="108"/>
      <c r="AU1336" s="108"/>
      <c r="AV1336" s="108"/>
      <c r="AW1336" s="108"/>
      <c r="AX1336" s="108"/>
      <c r="AY1336" s="108"/>
      <c r="AZ1336" s="108"/>
      <c r="BA1336" s="108"/>
      <c r="BB1336" s="108"/>
      <c r="BC1336" s="108"/>
      <c r="BD1336" s="108"/>
      <c r="BE1336" s="108"/>
      <c r="BF1336" s="108"/>
      <c r="BG1336" s="108"/>
      <c r="BH1336" s="108"/>
      <c r="BI1336" s="108"/>
      <c r="BJ1336" s="108"/>
      <c r="BK1336" s="108"/>
      <c r="BL1336" s="108"/>
      <c r="BM1336" s="108"/>
      <c r="BN1336" s="108"/>
      <c r="BO1336" s="108"/>
      <c r="BP1336" s="108"/>
      <c r="BQ1336" s="108"/>
      <c r="BR1336" s="108"/>
      <c r="BS1336" s="108"/>
      <c r="BT1336" s="108"/>
      <c r="BU1336" s="108"/>
      <c r="BV1336" s="108"/>
      <c r="BW1336" s="108"/>
      <c r="BX1336" s="108"/>
      <c r="BY1336" s="108"/>
      <c r="BZ1336" s="108"/>
      <c r="CA1336" s="108"/>
      <c r="CB1336" s="108"/>
      <c r="CC1336" s="108"/>
      <c r="CD1336" s="108"/>
      <c r="CE1336" s="108"/>
      <c r="CF1336" s="108"/>
      <c r="CG1336" s="108"/>
      <c r="CH1336" s="108"/>
      <c r="CI1336" s="108"/>
      <c r="CJ1336" s="108"/>
      <c r="CK1336" s="108"/>
      <c r="CL1336" s="108"/>
      <c r="CM1336" s="108"/>
      <c r="CN1336" s="110"/>
      <c r="CO1336" s="111"/>
      <c r="CP1336" s="110"/>
      <c r="CQ1336" s="111"/>
      <c r="CR1336" s="110"/>
      <c r="CS1336" s="111"/>
      <c r="CT1336" s="112">
        <f t="shared" si="333"/>
        <v>0</v>
      </c>
      <c r="CU1336" s="113"/>
      <c r="CV1336" s="114"/>
      <c r="CW1336" s="115"/>
      <c r="CX1336" s="116"/>
      <c r="CY1336" s="117"/>
      <c r="CZ1336" s="116"/>
      <c r="DA1336" s="113"/>
      <c r="DB1336" s="114"/>
      <c r="DC1336" s="64"/>
      <c r="DD1336" s="118"/>
    </row>
    <row r="1337" spans="1:108" s="119" customFormat="1" ht="22.5" outlineLevel="2">
      <c r="A1337" s="178">
        <v>40452</v>
      </c>
      <c r="B1337" s="164" t="s">
        <v>582</v>
      </c>
      <c r="C1337" s="164" t="s">
        <v>832</v>
      </c>
      <c r="D1337" s="166" t="s">
        <v>1262</v>
      </c>
      <c r="E1337" s="163"/>
      <c r="F1337" s="105"/>
      <c r="G1337" s="105"/>
      <c r="H1337" s="105">
        <v>150</v>
      </c>
      <c r="I1337" s="105">
        <v>30</v>
      </c>
      <c r="J1337" s="105"/>
      <c r="K1337" s="105">
        <v>20</v>
      </c>
      <c r="L1337" s="105">
        <v>2</v>
      </c>
      <c r="M1337" s="105"/>
      <c r="N1337" s="105"/>
      <c r="O1337" s="105"/>
      <c r="P1337" s="105"/>
      <c r="Q1337" s="105"/>
      <c r="R1337" s="105"/>
      <c r="S1337" s="105"/>
      <c r="T1337" s="106">
        <v>125</v>
      </c>
      <c r="U1337" s="130"/>
      <c r="V1337" s="1"/>
      <c r="W1337" s="68">
        <f t="shared" si="328"/>
        <v>0</v>
      </c>
      <c r="X1337" s="68">
        <f t="shared" si="329"/>
        <v>0</v>
      </c>
      <c r="Y1337" s="68">
        <f t="shared" si="330"/>
        <v>0</v>
      </c>
      <c r="Z1337" s="68">
        <f t="shared" si="331"/>
        <v>0</v>
      </c>
      <c r="AA1337" s="68"/>
      <c r="AB1337" s="68">
        <v>0</v>
      </c>
      <c r="AC1337" s="69">
        <f t="shared" si="332"/>
        <v>0</v>
      </c>
      <c r="AD1337" s="70">
        <v>0</v>
      </c>
      <c r="AE1337" s="63"/>
      <c r="AF1337" s="72"/>
      <c r="AG1337" s="63" t="s">
        <v>954</v>
      </c>
      <c r="AH1337" s="23" t="s">
        <v>955</v>
      </c>
      <c r="AI1337" s="60"/>
      <c r="AJ1337" s="124" t="s">
        <v>842</v>
      </c>
      <c r="AK1337" s="121" t="s">
        <v>1960</v>
      </c>
      <c r="AL1337" s="107"/>
      <c r="AM1337" s="108"/>
      <c r="AN1337" s="109"/>
      <c r="AO1337" s="108"/>
      <c r="AP1337" s="108"/>
      <c r="AQ1337" s="108"/>
      <c r="AR1337" s="108"/>
      <c r="AS1337" s="108"/>
      <c r="AT1337" s="108"/>
      <c r="AU1337" s="108"/>
      <c r="AV1337" s="108"/>
      <c r="AW1337" s="108"/>
      <c r="AX1337" s="108"/>
      <c r="AY1337" s="108"/>
      <c r="AZ1337" s="108"/>
      <c r="BA1337" s="108"/>
      <c r="BB1337" s="108"/>
      <c r="BC1337" s="108"/>
      <c r="BD1337" s="108"/>
      <c r="BE1337" s="108"/>
      <c r="BF1337" s="108"/>
      <c r="BG1337" s="108"/>
      <c r="BH1337" s="108"/>
      <c r="BI1337" s="108"/>
      <c r="BJ1337" s="108"/>
      <c r="BK1337" s="108"/>
      <c r="BL1337" s="108"/>
      <c r="BM1337" s="108"/>
      <c r="BN1337" s="108"/>
      <c r="BO1337" s="108"/>
      <c r="BP1337" s="108"/>
      <c r="BQ1337" s="108"/>
      <c r="BR1337" s="108"/>
      <c r="BS1337" s="108"/>
      <c r="BT1337" s="108"/>
      <c r="BU1337" s="108"/>
      <c r="BV1337" s="108"/>
      <c r="BW1337" s="108"/>
      <c r="BX1337" s="108"/>
      <c r="BY1337" s="108"/>
      <c r="BZ1337" s="108"/>
      <c r="CA1337" s="108"/>
      <c r="CB1337" s="108"/>
      <c r="CC1337" s="108"/>
      <c r="CD1337" s="108"/>
      <c r="CE1337" s="108"/>
      <c r="CF1337" s="108"/>
      <c r="CG1337" s="108"/>
      <c r="CH1337" s="108"/>
      <c r="CI1337" s="108"/>
      <c r="CJ1337" s="108"/>
      <c r="CK1337" s="108"/>
      <c r="CL1337" s="108"/>
      <c r="CM1337" s="108"/>
      <c r="CN1337" s="110"/>
      <c r="CO1337" s="111"/>
      <c r="CP1337" s="110"/>
      <c r="CQ1337" s="111"/>
      <c r="CR1337" s="110"/>
      <c r="CS1337" s="111"/>
      <c r="CT1337" s="112">
        <f t="shared" si="333"/>
        <v>0</v>
      </c>
      <c r="CU1337" s="113"/>
      <c r="CV1337" s="114"/>
      <c r="CW1337" s="115"/>
      <c r="CX1337" s="116"/>
      <c r="CY1337" s="117"/>
      <c r="CZ1337" s="116"/>
      <c r="DA1337" s="113"/>
      <c r="DB1337" s="114"/>
      <c r="DC1337" s="64"/>
      <c r="DD1337" s="118"/>
    </row>
    <row r="1338" spans="1:108" s="119" customFormat="1" ht="22.5" outlineLevel="2">
      <c r="A1338" s="178">
        <v>40452</v>
      </c>
      <c r="B1338" s="164" t="s">
        <v>582</v>
      </c>
      <c r="C1338" s="164" t="s">
        <v>833</v>
      </c>
      <c r="D1338" s="166" t="s">
        <v>1262</v>
      </c>
      <c r="E1338" s="163"/>
      <c r="F1338" s="105"/>
      <c r="G1338" s="105"/>
      <c r="H1338" s="105">
        <f>40*5</f>
        <v>200</v>
      </c>
      <c r="I1338" s="105">
        <v>40</v>
      </c>
      <c r="J1338" s="105"/>
      <c r="K1338" s="105">
        <v>30</v>
      </c>
      <c r="L1338" s="105">
        <v>3</v>
      </c>
      <c r="M1338" s="105"/>
      <c r="N1338" s="105"/>
      <c r="O1338" s="105"/>
      <c r="P1338" s="105"/>
      <c r="Q1338" s="105"/>
      <c r="R1338" s="105"/>
      <c r="S1338" s="105"/>
      <c r="T1338" s="106">
        <v>200</v>
      </c>
      <c r="U1338" s="130"/>
      <c r="V1338" s="1"/>
      <c r="W1338" s="68">
        <f t="shared" si="328"/>
        <v>0</v>
      </c>
      <c r="X1338" s="68">
        <f t="shared" si="329"/>
        <v>0</v>
      </c>
      <c r="Y1338" s="68">
        <f t="shared" si="330"/>
        <v>0</v>
      </c>
      <c r="Z1338" s="68">
        <f t="shared" si="331"/>
        <v>0</v>
      </c>
      <c r="AA1338" s="68"/>
      <c r="AB1338" s="68">
        <v>0</v>
      </c>
      <c r="AC1338" s="69">
        <f t="shared" si="332"/>
        <v>0</v>
      </c>
      <c r="AD1338" s="70">
        <v>0</v>
      </c>
      <c r="AE1338" s="63"/>
      <c r="AF1338" s="72"/>
      <c r="AG1338" s="63" t="s">
        <v>954</v>
      </c>
      <c r="AH1338" s="23" t="s">
        <v>955</v>
      </c>
      <c r="AI1338" s="60"/>
      <c r="AJ1338" s="124" t="s">
        <v>842</v>
      </c>
      <c r="AK1338" s="121" t="s">
        <v>1960</v>
      </c>
      <c r="AL1338" s="107"/>
      <c r="AM1338" s="108"/>
      <c r="AN1338" s="109"/>
      <c r="AO1338" s="108"/>
      <c r="AP1338" s="108"/>
      <c r="AQ1338" s="108"/>
      <c r="AR1338" s="108"/>
      <c r="AS1338" s="108"/>
      <c r="AT1338" s="108"/>
      <c r="AU1338" s="108"/>
      <c r="AV1338" s="108"/>
      <c r="AW1338" s="108"/>
      <c r="AX1338" s="108"/>
      <c r="AY1338" s="108"/>
      <c r="AZ1338" s="108"/>
      <c r="BA1338" s="108"/>
      <c r="BB1338" s="108"/>
      <c r="BC1338" s="108"/>
      <c r="BD1338" s="108"/>
      <c r="BE1338" s="108"/>
      <c r="BF1338" s="108"/>
      <c r="BG1338" s="108"/>
      <c r="BH1338" s="108"/>
      <c r="BI1338" s="108"/>
      <c r="BJ1338" s="108"/>
      <c r="BK1338" s="108"/>
      <c r="BL1338" s="108"/>
      <c r="BM1338" s="108"/>
      <c r="BN1338" s="108"/>
      <c r="BO1338" s="108"/>
      <c r="BP1338" s="108"/>
      <c r="BQ1338" s="108"/>
      <c r="BR1338" s="108"/>
      <c r="BS1338" s="108"/>
      <c r="BT1338" s="108"/>
      <c r="BU1338" s="108"/>
      <c r="BV1338" s="108"/>
      <c r="BW1338" s="108"/>
      <c r="BX1338" s="108"/>
      <c r="BY1338" s="108"/>
      <c r="BZ1338" s="108"/>
      <c r="CA1338" s="108"/>
      <c r="CB1338" s="108"/>
      <c r="CC1338" s="108"/>
      <c r="CD1338" s="108"/>
      <c r="CE1338" s="108"/>
      <c r="CF1338" s="108"/>
      <c r="CG1338" s="108"/>
      <c r="CH1338" s="108"/>
      <c r="CI1338" s="108"/>
      <c r="CJ1338" s="108"/>
      <c r="CK1338" s="108"/>
      <c r="CL1338" s="108"/>
      <c r="CM1338" s="108"/>
      <c r="CN1338" s="110"/>
      <c r="CO1338" s="111"/>
      <c r="CP1338" s="110"/>
      <c r="CQ1338" s="111"/>
      <c r="CR1338" s="110"/>
      <c r="CS1338" s="111"/>
      <c r="CT1338" s="112">
        <f t="shared" si="333"/>
        <v>0</v>
      </c>
      <c r="CU1338" s="113"/>
      <c r="CV1338" s="114"/>
      <c r="CW1338" s="115"/>
      <c r="CX1338" s="116"/>
      <c r="CY1338" s="117"/>
      <c r="CZ1338" s="116"/>
      <c r="DA1338" s="113"/>
      <c r="DB1338" s="114"/>
      <c r="DC1338" s="64"/>
      <c r="DD1338" s="118"/>
    </row>
    <row r="1339" spans="1:108" s="119" customFormat="1" ht="22.5" outlineLevel="2">
      <c r="A1339" s="178">
        <v>40452</v>
      </c>
      <c r="B1339" s="164" t="s">
        <v>582</v>
      </c>
      <c r="C1339" s="164" t="s">
        <v>1468</v>
      </c>
      <c r="D1339" s="166" t="s">
        <v>1262</v>
      </c>
      <c r="E1339" s="163"/>
      <c r="F1339" s="105"/>
      <c r="G1339" s="105"/>
      <c r="H1339" s="105">
        <f>113*5</f>
        <v>565</v>
      </c>
      <c r="I1339" s="105">
        <f>150-37</f>
        <v>113</v>
      </c>
      <c r="J1339" s="105">
        <v>30</v>
      </c>
      <c r="K1339" s="105">
        <v>50</v>
      </c>
      <c r="L1339" s="105">
        <v>3</v>
      </c>
      <c r="M1339" s="105">
        <v>2</v>
      </c>
      <c r="N1339" s="105"/>
      <c r="O1339" s="105"/>
      <c r="P1339" s="105"/>
      <c r="Q1339" s="105"/>
      <c r="R1339" s="105"/>
      <c r="S1339" s="105"/>
      <c r="T1339" s="106">
        <v>250</v>
      </c>
      <c r="U1339" s="151" t="s">
        <v>414</v>
      </c>
      <c r="V1339" s="1"/>
      <c r="W1339" s="68">
        <f t="shared" si="328"/>
        <v>0</v>
      </c>
      <c r="X1339" s="68">
        <f t="shared" si="329"/>
        <v>0</v>
      </c>
      <c r="Y1339" s="68">
        <f t="shared" si="330"/>
        <v>0</v>
      </c>
      <c r="Z1339" s="68">
        <f t="shared" si="331"/>
        <v>0</v>
      </c>
      <c r="AA1339" s="68"/>
      <c r="AB1339" s="68">
        <v>0</v>
      </c>
      <c r="AC1339" s="69">
        <f t="shared" si="332"/>
        <v>0</v>
      </c>
      <c r="AD1339" s="70">
        <v>0</v>
      </c>
      <c r="AE1339" s="63"/>
      <c r="AF1339" s="72"/>
      <c r="AG1339" s="63" t="s">
        <v>954</v>
      </c>
      <c r="AH1339" s="23" t="s">
        <v>955</v>
      </c>
      <c r="AI1339" s="60"/>
      <c r="AJ1339" s="124" t="s">
        <v>842</v>
      </c>
      <c r="AK1339" s="121" t="s">
        <v>1960</v>
      </c>
      <c r="AL1339" s="107"/>
      <c r="AM1339" s="108"/>
      <c r="AN1339" s="109"/>
      <c r="AO1339" s="108"/>
      <c r="AP1339" s="108"/>
      <c r="AQ1339" s="108"/>
      <c r="AR1339" s="108"/>
      <c r="AS1339" s="108"/>
      <c r="AT1339" s="108"/>
      <c r="AU1339" s="108"/>
      <c r="AV1339" s="108"/>
      <c r="AW1339" s="108"/>
      <c r="AX1339" s="108"/>
      <c r="AY1339" s="108"/>
      <c r="AZ1339" s="108"/>
      <c r="BA1339" s="108"/>
      <c r="BB1339" s="108"/>
      <c r="BC1339" s="108"/>
      <c r="BD1339" s="108"/>
      <c r="BE1339" s="108"/>
      <c r="BF1339" s="108"/>
      <c r="BG1339" s="108"/>
      <c r="BH1339" s="108"/>
      <c r="BI1339" s="108"/>
      <c r="BJ1339" s="108"/>
      <c r="BK1339" s="108"/>
      <c r="BL1339" s="108"/>
      <c r="BM1339" s="108"/>
      <c r="BN1339" s="108"/>
      <c r="BO1339" s="108"/>
      <c r="BP1339" s="108"/>
      <c r="BQ1339" s="108"/>
      <c r="BR1339" s="108"/>
      <c r="BS1339" s="108"/>
      <c r="BT1339" s="108"/>
      <c r="BU1339" s="108"/>
      <c r="BV1339" s="108"/>
      <c r="BW1339" s="108"/>
      <c r="BX1339" s="108"/>
      <c r="BY1339" s="108"/>
      <c r="BZ1339" s="108"/>
      <c r="CA1339" s="108"/>
      <c r="CB1339" s="108"/>
      <c r="CC1339" s="108"/>
      <c r="CD1339" s="108"/>
      <c r="CE1339" s="108"/>
      <c r="CF1339" s="108"/>
      <c r="CG1339" s="108"/>
      <c r="CH1339" s="108"/>
      <c r="CI1339" s="108"/>
      <c r="CJ1339" s="108"/>
      <c r="CK1339" s="108"/>
      <c r="CL1339" s="108"/>
      <c r="CM1339" s="108"/>
      <c r="CN1339" s="110"/>
      <c r="CO1339" s="111"/>
      <c r="CP1339" s="110"/>
      <c r="CQ1339" s="111"/>
      <c r="CR1339" s="110"/>
      <c r="CS1339" s="111"/>
      <c r="CT1339" s="112">
        <f t="shared" si="333"/>
        <v>0</v>
      </c>
      <c r="CU1339" s="113"/>
      <c r="CV1339" s="114"/>
      <c r="CW1339" s="115"/>
      <c r="CX1339" s="116"/>
      <c r="CY1339" s="117"/>
      <c r="CZ1339" s="116"/>
      <c r="DA1339" s="113"/>
      <c r="DB1339" s="114"/>
      <c r="DC1339" s="64"/>
      <c r="DD1339" s="118"/>
    </row>
    <row r="1340" spans="1:108" s="119" customFormat="1" ht="22.5" outlineLevel="2">
      <c r="A1340" s="178">
        <v>40452</v>
      </c>
      <c r="B1340" s="164" t="s">
        <v>582</v>
      </c>
      <c r="C1340" s="164" t="s">
        <v>834</v>
      </c>
      <c r="D1340" s="166" t="s">
        <v>1262</v>
      </c>
      <c r="E1340" s="163"/>
      <c r="F1340" s="105"/>
      <c r="G1340" s="105"/>
      <c r="H1340" s="105">
        <f>80*5</f>
        <v>400</v>
      </c>
      <c r="I1340" s="105">
        <v>80</v>
      </c>
      <c r="J1340" s="105">
        <v>10</v>
      </c>
      <c r="K1340" s="105"/>
      <c r="L1340" s="105">
        <v>3</v>
      </c>
      <c r="M1340" s="105">
        <v>2</v>
      </c>
      <c r="N1340" s="105"/>
      <c r="O1340" s="105"/>
      <c r="P1340" s="105"/>
      <c r="Q1340" s="105"/>
      <c r="R1340" s="105">
        <v>2</v>
      </c>
      <c r="S1340" s="105"/>
      <c r="T1340" s="106">
        <v>7000</v>
      </c>
      <c r="U1340" s="151" t="s">
        <v>414</v>
      </c>
      <c r="V1340" s="1"/>
      <c r="W1340" s="68">
        <f t="shared" si="328"/>
        <v>0</v>
      </c>
      <c r="X1340" s="68">
        <f t="shared" si="329"/>
        <v>0</v>
      </c>
      <c r="Y1340" s="68">
        <f t="shared" si="330"/>
        <v>0</v>
      </c>
      <c r="Z1340" s="68">
        <f t="shared" si="331"/>
        <v>0</v>
      </c>
      <c r="AA1340" s="68"/>
      <c r="AB1340" s="68">
        <v>0</v>
      </c>
      <c r="AC1340" s="69">
        <f t="shared" si="332"/>
        <v>0</v>
      </c>
      <c r="AD1340" s="70">
        <v>0</v>
      </c>
      <c r="AE1340" s="63"/>
      <c r="AF1340" s="72"/>
      <c r="AG1340" s="63" t="s">
        <v>954</v>
      </c>
      <c r="AH1340" s="23" t="s">
        <v>955</v>
      </c>
      <c r="AI1340" s="60"/>
      <c r="AJ1340" s="124" t="s">
        <v>842</v>
      </c>
      <c r="AK1340" s="121" t="s">
        <v>1960</v>
      </c>
      <c r="AL1340" s="107"/>
      <c r="AM1340" s="108"/>
      <c r="AN1340" s="109"/>
      <c r="AO1340" s="108"/>
      <c r="AP1340" s="108"/>
      <c r="AQ1340" s="108"/>
      <c r="AR1340" s="108"/>
      <c r="AS1340" s="108"/>
      <c r="AT1340" s="108"/>
      <c r="AU1340" s="108"/>
      <c r="AV1340" s="108"/>
      <c r="AW1340" s="108"/>
      <c r="AX1340" s="108"/>
      <c r="AY1340" s="108"/>
      <c r="AZ1340" s="108"/>
      <c r="BA1340" s="108"/>
      <c r="BB1340" s="108"/>
      <c r="BC1340" s="108"/>
      <c r="BD1340" s="108"/>
      <c r="BE1340" s="108"/>
      <c r="BF1340" s="108"/>
      <c r="BG1340" s="108"/>
      <c r="BH1340" s="108"/>
      <c r="BI1340" s="108"/>
      <c r="BJ1340" s="108"/>
      <c r="BK1340" s="108"/>
      <c r="BL1340" s="108"/>
      <c r="BM1340" s="108"/>
      <c r="BN1340" s="108"/>
      <c r="BO1340" s="108"/>
      <c r="BP1340" s="108"/>
      <c r="BQ1340" s="108"/>
      <c r="BR1340" s="108"/>
      <c r="BS1340" s="108"/>
      <c r="BT1340" s="108"/>
      <c r="BU1340" s="108"/>
      <c r="BV1340" s="108"/>
      <c r="BW1340" s="108"/>
      <c r="BX1340" s="108"/>
      <c r="BY1340" s="108"/>
      <c r="BZ1340" s="108"/>
      <c r="CA1340" s="108"/>
      <c r="CB1340" s="108"/>
      <c r="CC1340" s="108"/>
      <c r="CD1340" s="108"/>
      <c r="CE1340" s="108"/>
      <c r="CF1340" s="108"/>
      <c r="CG1340" s="108"/>
      <c r="CH1340" s="108"/>
      <c r="CI1340" s="108"/>
      <c r="CJ1340" s="108"/>
      <c r="CK1340" s="108"/>
      <c r="CL1340" s="108"/>
      <c r="CM1340" s="108"/>
      <c r="CN1340" s="110"/>
      <c r="CO1340" s="111"/>
      <c r="CP1340" s="110"/>
      <c r="CQ1340" s="111"/>
      <c r="CR1340" s="110"/>
      <c r="CS1340" s="111"/>
      <c r="CT1340" s="112">
        <f t="shared" si="333"/>
        <v>0</v>
      </c>
      <c r="CU1340" s="113"/>
      <c r="CV1340" s="114"/>
      <c r="CW1340" s="115"/>
      <c r="CX1340" s="116"/>
      <c r="CY1340" s="117"/>
      <c r="CZ1340" s="116"/>
      <c r="DA1340" s="113"/>
      <c r="DB1340" s="114"/>
      <c r="DC1340" s="64"/>
      <c r="DD1340" s="118"/>
    </row>
    <row r="1341" spans="1:108" s="119" customFormat="1" ht="22.5" outlineLevel="2">
      <c r="A1341" s="178">
        <v>40452</v>
      </c>
      <c r="B1341" s="164" t="s">
        <v>582</v>
      </c>
      <c r="C1341" s="164" t="s">
        <v>1904</v>
      </c>
      <c r="D1341" s="166" t="s">
        <v>1262</v>
      </c>
      <c r="E1341" s="163"/>
      <c r="F1341" s="105"/>
      <c r="G1341" s="105"/>
      <c r="H1341" s="105">
        <v>1000</v>
      </c>
      <c r="I1341" s="105">
        <v>200</v>
      </c>
      <c r="J1341" s="105">
        <v>15</v>
      </c>
      <c r="K1341" s="105">
        <f>200-15</f>
        <v>185</v>
      </c>
      <c r="L1341" s="105"/>
      <c r="M1341" s="105"/>
      <c r="N1341" s="105"/>
      <c r="O1341" s="105"/>
      <c r="P1341" s="105"/>
      <c r="Q1341" s="105"/>
      <c r="R1341" s="105">
        <v>2</v>
      </c>
      <c r="S1341" s="105"/>
      <c r="T1341" s="106">
        <v>1000</v>
      </c>
      <c r="U1341" s="151" t="s">
        <v>414</v>
      </c>
      <c r="V1341" s="1"/>
      <c r="W1341" s="68">
        <f t="shared" si="328"/>
        <v>0</v>
      </c>
      <c r="X1341" s="68">
        <f t="shared" si="329"/>
        <v>0</v>
      </c>
      <c r="Y1341" s="68">
        <f t="shared" si="330"/>
        <v>0</v>
      </c>
      <c r="Z1341" s="68">
        <f t="shared" si="331"/>
        <v>0</v>
      </c>
      <c r="AA1341" s="68"/>
      <c r="AB1341" s="68">
        <v>0</v>
      </c>
      <c r="AC1341" s="69">
        <f t="shared" si="332"/>
        <v>0</v>
      </c>
      <c r="AD1341" s="70">
        <v>0</v>
      </c>
      <c r="AE1341" s="63"/>
      <c r="AF1341" s="72"/>
      <c r="AG1341" s="63" t="s">
        <v>954</v>
      </c>
      <c r="AH1341" s="23" t="s">
        <v>955</v>
      </c>
      <c r="AI1341" s="60"/>
      <c r="AJ1341" s="124" t="s">
        <v>842</v>
      </c>
      <c r="AK1341" s="121" t="s">
        <v>1960</v>
      </c>
      <c r="AL1341" s="107"/>
      <c r="AM1341" s="108"/>
      <c r="AN1341" s="109"/>
      <c r="AO1341" s="108"/>
      <c r="AP1341" s="108"/>
      <c r="AQ1341" s="108"/>
      <c r="AR1341" s="108"/>
      <c r="AS1341" s="108"/>
      <c r="AT1341" s="108"/>
      <c r="AU1341" s="108"/>
      <c r="AV1341" s="108"/>
      <c r="AW1341" s="108"/>
      <c r="AX1341" s="108"/>
      <c r="AY1341" s="108"/>
      <c r="AZ1341" s="108"/>
      <c r="BA1341" s="108"/>
      <c r="BB1341" s="108"/>
      <c r="BC1341" s="108"/>
      <c r="BD1341" s="108"/>
      <c r="BE1341" s="108"/>
      <c r="BF1341" s="108"/>
      <c r="BG1341" s="108"/>
      <c r="BH1341" s="108"/>
      <c r="BI1341" s="108"/>
      <c r="BJ1341" s="108"/>
      <c r="BK1341" s="108"/>
      <c r="BL1341" s="108"/>
      <c r="BM1341" s="108"/>
      <c r="BN1341" s="108"/>
      <c r="BO1341" s="108"/>
      <c r="BP1341" s="108"/>
      <c r="BQ1341" s="108"/>
      <c r="BR1341" s="108"/>
      <c r="BS1341" s="108"/>
      <c r="BT1341" s="108"/>
      <c r="BU1341" s="108"/>
      <c r="BV1341" s="108"/>
      <c r="BW1341" s="108"/>
      <c r="BX1341" s="108"/>
      <c r="BY1341" s="108"/>
      <c r="BZ1341" s="108"/>
      <c r="CA1341" s="108"/>
      <c r="CB1341" s="108"/>
      <c r="CC1341" s="108"/>
      <c r="CD1341" s="108"/>
      <c r="CE1341" s="108"/>
      <c r="CF1341" s="108"/>
      <c r="CG1341" s="108"/>
      <c r="CH1341" s="108"/>
      <c r="CI1341" s="108"/>
      <c r="CJ1341" s="108"/>
      <c r="CK1341" s="108"/>
      <c r="CL1341" s="108"/>
      <c r="CM1341" s="108"/>
      <c r="CN1341" s="110"/>
      <c r="CO1341" s="111"/>
      <c r="CP1341" s="110"/>
      <c r="CQ1341" s="111"/>
      <c r="CR1341" s="110"/>
      <c r="CS1341" s="111"/>
      <c r="CT1341" s="112">
        <f t="shared" si="333"/>
        <v>0</v>
      </c>
      <c r="CU1341" s="113"/>
      <c r="CV1341" s="114"/>
      <c r="CW1341" s="115"/>
      <c r="CX1341" s="116"/>
      <c r="CY1341" s="117"/>
      <c r="CZ1341" s="116"/>
      <c r="DA1341" s="113"/>
      <c r="DB1341" s="114"/>
      <c r="DC1341" s="64"/>
      <c r="DD1341" s="118"/>
    </row>
    <row r="1342" spans="1:108" s="119" customFormat="1" ht="22.5" outlineLevel="2">
      <c r="A1342" s="178">
        <v>40452</v>
      </c>
      <c r="B1342" s="164" t="s">
        <v>582</v>
      </c>
      <c r="C1342" s="164" t="s">
        <v>835</v>
      </c>
      <c r="D1342" s="166" t="s">
        <v>1262</v>
      </c>
      <c r="E1342" s="163"/>
      <c r="F1342" s="105"/>
      <c r="G1342" s="105"/>
      <c r="H1342" s="105">
        <f>50*5</f>
        <v>250</v>
      </c>
      <c r="I1342" s="105">
        <v>50</v>
      </c>
      <c r="J1342" s="105"/>
      <c r="K1342" s="105">
        <v>4</v>
      </c>
      <c r="L1342" s="105">
        <v>1</v>
      </c>
      <c r="M1342" s="105"/>
      <c r="N1342" s="105"/>
      <c r="O1342" s="105">
        <v>1</v>
      </c>
      <c r="P1342" s="105"/>
      <c r="Q1342" s="105"/>
      <c r="R1342" s="105"/>
      <c r="S1342" s="105"/>
      <c r="T1342" s="106">
        <v>80</v>
      </c>
      <c r="U1342" s="151" t="s">
        <v>414</v>
      </c>
      <c r="V1342" s="1"/>
      <c r="W1342" s="68">
        <f t="shared" ref="W1342:W1377" si="334">CT1342</f>
        <v>0</v>
      </c>
      <c r="X1342" s="68">
        <f t="shared" ref="X1342:X1377" si="335">CX1342</f>
        <v>0</v>
      </c>
      <c r="Y1342" s="68">
        <f t="shared" ref="Y1342:Y1377" si="336">CZ1342+DB1342</f>
        <v>0</v>
      </c>
      <c r="Z1342" s="68">
        <f t="shared" ref="Z1342:Z1377" si="337">CV1342</f>
        <v>0</v>
      </c>
      <c r="AA1342" s="68"/>
      <c r="AB1342" s="68">
        <v>0</v>
      </c>
      <c r="AC1342" s="69">
        <f t="shared" ref="AC1342:AC1373" si="338">W1342+X1342+Y1342+Z1342+AA1342+AB1342</f>
        <v>0</v>
      </c>
      <c r="AD1342" s="70">
        <v>0</v>
      </c>
      <c r="AE1342" s="63"/>
      <c r="AF1342" s="72"/>
      <c r="AG1342" s="63" t="s">
        <v>954</v>
      </c>
      <c r="AH1342" s="23" t="s">
        <v>955</v>
      </c>
      <c r="AI1342" s="60"/>
      <c r="AJ1342" s="124" t="s">
        <v>842</v>
      </c>
      <c r="AK1342" s="121" t="s">
        <v>1960</v>
      </c>
      <c r="AL1342" s="107"/>
      <c r="AM1342" s="108"/>
      <c r="AN1342" s="109"/>
      <c r="AO1342" s="108"/>
      <c r="AP1342" s="108"/>
      <c r="AQ1342" s="108"/>
      <c r="AR1342" s="108"/>
      <c r="AS1342" s="108"/>
      <c r="AT1342" s="108"/>
      <c r="AU1342" s="108"/>
      <c r="AV1342" s="108"/>
      <c r="AW1342" s="108"/>
      <c r="AX1342" s="108"/>
      <c r="AY1342" s="108"/>
      <c r="AZ1342" s="108"/>
      <c r="BA1342" s="108"/>
      <c r="BB1342" s="108"/>
      <c r="BC1342" s="108"/>
      <c r="BD1342" s="108"/>
      <c r="BE1342" s="108"/>
      <c r="BF1342" s="108"/>
      <c r="BG1342" s="108"/>
      <c r="BH1342" s="108"/>
      <c r="BI1342" s="108"/>
      <c r="BJ1342" s="108"/>
      <c r="BK1342" s="108"/>
      <c r="BL1342" s="108"/>
      <c r="BM1342" s="108"/>
      <c r="BN1342" s="108"/>
      <c r="BO1342" s="108"/>
      <c r="BP1342" s="108"/>
      <c r="BQ1342" s="108"/>
      <c r="BR1342" s="108"/>
      <c r="BS1342" s="108"/>
      <c r="BT1342" s="108"/>
      <c r="BU1342" s="108"/>
      <c r="BV1342" s="108"/>
      <c r="BW1342" s="108"/>
      <c r="BX1342" s="108"/>
      <c r="BY1342" s="108"/>
      <c r="BZ1342" s="108"/>
      <c r="CA1342" s="108"/>
      <c r="CB1342" s="108"/>
      <c r="CC1342" s="108"/>
      <c r="CD1342" s="108"/>
      <c r="CE1342" s="108"/>
      <c r="CF1342" s="108"/>
      <c r="CG1342" s="108"/>
      <c r="CH1342" s="108"/>
      <c r="CI1342" s="108"/>
      <c r="CJ1342" s="108"/>
      <c r="CK1342" s="108"/>
      <c r="CL1342" s="108"/>
      <c r="CM1342" s="108"/>
      <c r="CN1342" s="110"/>
      <c r="CO1342" s="111"/>
      <c r="CP1342" s="110"/>
      <c r="CQ1342" s="111"/>
      <c r="CR1342" s="110"/>
      <c r="CS1342" s="111"/>
      <c r="CT1342" s="112">
        <f t="shared" ref="CT1342:CT1373" si="339">AM1342+AO1342+AQ1342+AS1342+AU1342+AW1342+AY1342+BA1342+BC1342+BE1342+BG1342+BI1342+BK1342+BM1342+BO1342+BQ1342+BS1342+BU1342+BW1342+BY1342+CA1342+CC1342+CE1342+CG1342+CI1342+CK1342+CM1342+CO1342+CQ1342+CS1342</f>
        <v>0</v>
      </c>
      <c r="CU1342" s="113"/>
      <c r="CV1342" s="114"/>
      <c r="CW1342" s="115"/>
      <c r="CX1342" s="116"/>
      <c r="CY1342" s="117"/>
      <c r="CZ1342" s="116"/>
      <c r="DA1342" s="113"/>
      <c r="DB1342" s="114"/>
      <c r="DC1342" s="64"/>
      <c r="DD1342" s="118"/>
    </row>
    <row r="1343" spans="1:108" s="119" customFormat="1" ht="33.75" outlineLevel="2">
      <c r="A1343" s="178">
        <v>40452</v>
      </c>
      <c r="B1343" s="164" t="s">
        <v>582</v>
      </c>
      <c r="C1343" s="164" t="s">
        <v>836</v>
      </c>
      <c r="D1343" s="166" t="s">
        <v>1262</v>
      </c>
      <c r="E1343" s="163"/>
      <c r="F1343" s="105"/>
      <c r="G1343" s="105"/>
      <c r="H1343" s="105">
        <v>300</v>
      </c>
      <c r="I1343" s="105">
        <v>60</v>
      </c>
      <c r="J1343" s="105">
        <v>20</v>
      </c>
      <c r="K1343" s="105">
        <v>30</v>
      </c>
      <c r="L1343" s="105">
        <v>2</v>
      </c>
      <c r="M1343" s="105"/>
      <c r="N1343" s="105"/>
      <c r="O1343" s="105"/>
      <c r="P1343" s="105"/>
      <c r="Q1343" s="105"/>
      <c r="R1343" s="105"/>
      <c r="S1343" s="105"/>
      <c r="T1343" s="106">
        <v>150</v>
      </c>
      <c r="U1343" s="151" t="s">
        <v>414</v>
      </c>
      <c r="V1343" s="1"/>
      <c r="W1343" s="68">
        <f t="shared" si="334"/>
        <v>0</v>
      </c>
      <c r="X1343" s="68">
        <f t="shared" si="335"/>
        <v>0</v>
      </c>
      <c r="Y1343" s="68">
        <f t="shared" si="336"/>
        <v>0</v>
      </c>
      <c r="Z1343" s="68">
        <f t="shared" si="337"/>
        <v>0</v>
      </c>
      <c r="AA1343" s="68"/>
      <c r="AB1343" s="68">
        <v>0</v>
      </c>
      <c r="AC1343" s="69">
        <f t="shared" si="338"/>
        <v>0</v>
      </c>
      <c r="AD1343" s="70">
        <v>0</v>
      </c>
      <c r="AE1343" s="63"/>
      <c r="AF1343" s="72"/>
      <c r="AG1343" s="63" t="s">
        <v>954</v>
      </c>
      <c r="AH1343" s="23" t="s">
        <v>955</v>
      </c>
      <c r="AI1343" s="60"/>
      <c r="AJ1343" s="124" t="s">
        <v>842</v>
      </c>
      <c r="AK1343" s="121" t="s">
        <v>1960</v>
      </c>
      <c r="AL1343" s="107"/>
      <c r="AM1343" s="108"/>
      <c r="AN1343" s="109"/>
      <c r="AO1343" s="108"/>
      <c r="AP1343" s="108"/>
      <c r="AQ1343" s="108"/>
      <c r="AR1343" s="108"/>
      <c r="AS1343" s="108"/>
      <c r="AT1343" s="108"/>
      <c r="AU1343" s="108"/>
      <c r="AV1343" s="108"/>
      <c r="AW1343" s="108"/>
      <c r="AX1343" s="108"/>
      <c r="AY1343" s="108"/>
      <c r="AZ1343" s="108"/>
      <c r="BA1343" s="108"/>
      <c r="BB1343" s="108"/>
      <c r="BC1343" s="108"/>
      <c r="BD1343" s="108"/>
      <c r="BE1343" s="108"/>
      <c r="BF1343" s="108"/>
      <c r="BG1343" s="108"/>
      <c r="BH1343" s="108"/>
      <c r="BI1343" s="108"/>
      <c r="BJ1343" s="108"/>
      <c r="BK1343" s="108"/>
      <c r="BL1343" s="108"/>
      <c r="BM1343" s="108"/>
      <c r="BN1343" s="108"/>
      <c r="BO1343" s="108"/>
      <c r="BP1343" s="108"/>
      <c r="BQ1343" s="108"/>
      <c r="BR1343" s="108"/>
      <c r="BS1343" s="108"/>
      <c r="BT1343" s="108"/>
      <c r="BU1343" s="108"/>
      <c r="BV1343" s="108"/>
      <c r="BW1343" s="108"/>
      <c r="BX1343" s="108"/>
      <c r="BY1343" s="108"/>
      <c r="BZ1343" s="108"/>
      <c r="CA1343" s="108"/>
      <c r="CB1343" s="108"/>
      <c r="CC1343" s="108"/>
      <c r="CD1343" s="108"/>
      <c r="CE1343" s="108"/>
      <c r="CF1343" s="108"/>
      <c r="CG1343" s="108"/>
      <c r="CH1343" s="108"/>
      <c r="CI1343" s="108"/>
      <c r="CJ1343" s="108"/>
      <c r="CK1343" s="108"/>
      <c r="CL1343" s="108"/>
      <c r="CM1343" s="108"/>
      <c r="CN1343" s="110"/>
      <c r="CO1343" s="111"/>
      <c r="CP1343" s="110"/>
      <c r="CQ1343" s="111"/>
      <c r="CR1343" s="110"/>
      <c r="CS1343" s="111"/>
      <c r="CT1343" s="112">
        <f t="shared" si="339"/>
        <v>0</v>
      </c>
      <c r="CU1343" s="113"/>
      <c r="CV1343" s="114"/>
      <c r="CW1343" s="115"/>
      <c r="CX1343" s="116"/>
      <c r="CY1343" s="117"/>
      <c r="CZ1343" s="116"/>
      <c r="DA1343" s="113"/>
      <c r="DB1343" s="114"/>
      <c r="DC1343" s="64"/>
      <c r="DD1343" s="118"/>
    </row>
    <row r="1344" spans="1:108" s="119" customFormat="1" ht="22.5" outlineLevel="2">
      <c r="A1344" s="178">
        <v>40452</v>
      </c>
      <c r="B1344" s="164" t="s">
        <v>582</v>
      </c>
      <c r="C1344" s="164" t="s">
        <v>837</v>
      </c>
      <c r="D1344" s="166" t="s">
        <v>1262</v>
      </c>
      <c r="E1344" s="163"/>
      <c r="F1344" s="105"/>
      <c r="G1344" s="105"/>
      <c r="H1344" s="105">
        <f>40*5</f>
        <v>200</v>
      </c>
      <c r="I1344" s="105">
        <v>40</v>
      </c>
      <c r="J1344" s="105">
        <v>4</v>
      </c>
      <c r="K1344" s="105">
        <v>20</v>
      </c>
      <c r="L1344" s="105"/>
      <c r="M1344" s="105"/>
      <c r="N1344" s="105"/>
      <c r="O1344" s="105">
        <v>2</v>
      </c>
      <c r="P1344" s="105"/>
      <c r="Q1344" s="105"/>
      <c r="R1344" s="105"/>
      <c r="S1344" s="105"/>
      <c r="T1344" s="106">
        <v>140</v>
      </c>
      <c r="U1344" s="151" t="s">
        <v>414</v>
      </c>
      <c r="V1344" s="1"/>
      <c r="W1344" s="68">
        <f t="shared" si="334"/>
        <v>0</v>
      </c>
      <c r="X1344" s="68">
        <f t="shared" si="335"/>
        <v>0</v>
      </c>
      <c r="Y1344" s="68">
        <f t="shared" si="336"/>
        <v>0</v>
      </c>
      <c r="Z1344" s="68">
        <f t="shared" si="337"/>
        <v>0</v>
      </c>
      <c r="AA1344" s="68"/>
      <c r="AB1344" s="68">
        <v>0</v>
      </c>
      <c r="AC1344" s="69">
        <f t="shared" si="338"/>
        <v>0</v>
      </c>
      <c r="AD1344" s="70">
        <v>0</v>
      </c>
      <c r="AE1344" s="63"/>
      <c r="AF1344" s="72"/>
      <c r="AG1344" s="63" t="s">
        <v>954</v>
      </c>
      <c r="AH1344" s="23" t="s">
        <v>955</v>
      </c>
      <c r="AI1344" s="60"/>
      <c r="AJ1344" s="124" t="s">
        <v>842</v>
      </c>
      <c r="AK1344" s="121" t="s">
        <v>1960</v>
      </c>
      <c r="AL1344" s="107"/>
      <c r="AM1344" s="108"/>
      <c r="AN1344" s="109"/>
      <c r="AO1344" s="108"/>
      <c r="AP1344" s="108"/>
      <c r="AQ1344" s="108"/>
      <c r="AR1344" s="108"/>
      <c r="AS1344" s="108"/>
      <c r="AT1344" s="108"/>
      <c r="AU1344" s="108"/>
      <c r="AV1344" s="108"/>
      <c r="AW1344" s="108"/>
      <c r="AX1344" s="108"/>
      <c r="AY1344" s="108"/>
      <c r="AZ1344" s="108"/>
      <c r="BA1344" s="108"/>
      <c r="BB1344" s="108"/>
      <c r="BC1344" s="108"/>
      <c r="BD1344" s="108"/>
      <c r="BE1344" s="108"/>
      <c r="BF1344" s="108"/>
      <c r="BG1344" s="108"/>
      <c r="BH1344" s="108"/>
      <c r="BI1344" s="108"/>
      <c r="BJ1344" s="108"/>
      <c r="BK1344" s="108"/>
      <c r="BL1344" s="108"/>
      <c r="BM1344" s="108"/>
      <c r="BN1344" s="108"/>
      <c r="BO1344" s="108"/>
      <c r="BP1344" s="108"/>
      <c r="BQ1344" s="108"/>
      <c r="BR1344" s="108"/>
      <c r="BS1344" s="108"/>
      <c r="BT1344" s="108"/>
      <c r="BU1344" s="108"/>
      <c r="BV1344" s="108"/>
      <c r="BW1344" s="108"/>
      <c r="BX1344" s="108"/>
      <c r="BY1344" s="108"/>
      <c r="BZ1344" s="108"/>
      <c r="CA1344" s="108"/>
      <c r="CB1344" s="108"/>
      <c r="CC1344" s="108"/>
      <c r="CD1344" s="108"/>
      <c r="CE1344" s="108"/>
      <c r="CF1344" s="108"/>
      <c r="CG1344" s="108"/>
      <c r="CH1344" s="108"/>
      <c r="CI1344" s="108"/>
      <c r="CJ1344" s="108"/>
      <c r="CK1344" s="108"/>
      <c r="CL1344" s="108"/>
      <c r="CM1344" s="108"/>
      <c r="CN1344" s="110"/>
      <c r="CO1344" s="111"/>
      <c r="CP1344" s="110"/>
      <c r="CQ1344" s="111"/>
      <c r="CR1344" s="110"/>
      <c r="CS1344" s="111"/>
      <c r="CT1344" s="112">
        <f t="shared" si="339"/>
        <v>0</v>
      </c>
      <c r="CU1344" s="113"/>
      <c r="CV1344" s="114"/>
      <c r="CW1344" s="115"/>
      <c r="CX1344" s="116"/>
      <c r="CY1344" s="117"/>
      <c r="CZ1344" s="116"/>
      <c r="DA1344" s="113"/>
      <c r="DB1344" s="114"/>
      <c r="DC1344" s="64"/>
      <c r="DD1344" s="118"/>
    </row>
    <row r="1345" spans="1:108" s="119" customFormat="1" ht="22.5" outlineLevel="2">
      <c r="A1345" s="178">
        <v>40452</v>
      </c>
      <c r="B1345" s="164" t="s">
        <v>582</v>
      </c>
      <c r="C1345" s="164" t="s">
        <v>838</v>
      </c>
      <c r="D1345" s="166" t="s">
        <v>1262</v>
      </c>
      <c r="E1345" s="163"/>
      <c r="F1345" s="105"/>
      <c r="G1345" s="105"/>
      <c r="H1345" s="105">
        <v>300</v>
      </c>
      <c r="I1345" s="105">
        <v>60</v>
      </c>
      <c r="J1345" s="105"/>
      <c r="K1345" s="105">
        <v>20</v>
      </c>
      <c r="L1345" s="105">
        <v>2</v>
      </c>
      <c r="M1345" s="105"/>
      <c r="N1345" s="105"/>
      <c r="O1345" s="105">
        <v>2</v>
      </c>
      <c r="P1345" s="105"/>
      <c r="Q1345" s="105"/>
      <c r="R1345" s="105"/>
      <c r="S1345" s="105"/>
      <c r="T1345" s="106">
        <v>100</v>
      </c>
      <c r="U1345" s="130"/>
      <c r="V1345" s="1"/>
      <c r="W1345" s="68">
        <f t="shared" si="334"/>
        <v>0</v>
      </c>
      <c r="X1345" s="68">
        <f t="shared" si="335"/>
        <v>0</v>
      </c>
      <c r="Y1345" s="68">
        <f t="shared" si="336"/>
        <v>0</v>
      </c>
      <c r="Z1345" s="68">
        <f t="shared" si="337"/>
        <v>0</v>
      </c>
      <c r="AA1345" s="68"/>
      <c r="AB1345" s="68">
        <v>0</v>
      </c>
      <c r="AC1345" s="69">
        <f t="shared" si="338"/>
        <v>0</v>
      </c>
      <c r="AD1345" s="70">
        <v>0</v>
      </c>
      <c r="AE1345" s="63"/>
      <c r="AF1345" s="72"/>
      <c r="AG1345" s="63" t="s">
        <v>954</v>
      </c>
      <c r="AH1345" s="23" t="s">
        <v>955</v>
      </c>
      <c r="AI1345" s="60"/>
      <c r="AJ1345" s="124" t="s">
        <v>842</v>
      </c>
      <c r="AK1345" s="121" t="s">
        <v>1960</v>
      </c>
      <c r="AL1345" s="107"/>
      <c r="AM1345" s="108"/>
      <c r="AN1345" s="109"/>
      <c r="AO1345" s="108"/>
      <c r="AP1345" s="108"/>
      <c r="AQ1345" s="108"/>
      <c r="AR1345" s="108"/>
      <c r="AS1345" s="108"/>
      <c r="AT1345" s="108"/>
      <c r="AU1345" s="108"/>
      <c r="AV1345" s="108"/>
      <c r="AW1345" s="108"/>
      <c r="AX1345" s="108"/>
      <c r="AY1345" s="108"/>
      <c r="AZ1345" s="108"/>
      <c r="BA1345" s="108"/>
      <c r="BB1345" s="108"/>
      <c r="BC1345" s="108"/>
      <c r="BD1345" s="108"/>
      <c r="BE1345" s="108"/>
      <c r="BF1345" s="108"/>
      <c r="BG1345" s="108"/>
      <c r="BH1345" s="108"/>
      <c r="BI1345" s="108"/>
      <c r="BJ1345" s="108"/>
      <c r="BK1345" s="108"/>
      <c r="BL1345" s="108"/>
      <c r="BM1345" s="108"/>
      <c r="BN1345" s="108"/>
      <c r="BO1345" s="108"/>
      <c r="BP1345" s="108"/>
      <c r="BQ1345" s="108"/>
      <c r="BR1345" s="108"/>
      <c r="BS1345" s="108"/>
      <c r="BT1345" s="108"/>
      <c r="BU1345" s="108"/>
      <c r="BV1345" s="108"/>
      <c r="BW1345" s="108"/>
      <c r="BX1345" s="108"/>
      <c r="BY1345" s="108"/>
      <c r="BZ1345" s="108"/>
      <c r="CA1345" s="108"/>
      <c r="CB1345" s="108"/>
      <c r="CC1345" s="108"/>
      <c r="CD1345" s="108"/>
      <c r="CE1345" s="108"/>
      <c r="CF1345" s="108"/>
      <c r="CG1345" s="108"/>
      <c r="CH1345" s="108"/>
      <c r="CI1345" s="108"/>
      <c r="CJ1345" s="108"/>
      <c r="CK1345" s="108"/>
      <c r="CL1345" s="108"/>
      <c r="CM1345" s="108"/>
      <c r="CN1345" s="110"/>
      <c r="CO1345" s="111"/>
      <c r="CP1345" s="110"/>
      <c r="CQ1345" s="111"/>
      <c r="CR1345" s="110"/>
      <c r="CS1345" s="111"/>
      <c r="CT1345" s="112">
        <f t="shared" si="339"/>
        <v>0</v>
      </c>
      <c r="CU1345" s="113"/>
      <c r="CV1345" s="114"/>
      <c r="CW1345" s="115"/>
      <c r="CX1345" s="116"/>
      <c r="CY1345" s="117"/>
      <c r="CZ1345" s="116"/>
      <c r="DA1345" s="113"/>
      <c r="DB1345" s="114"/>
      <c r="DC1345" s="64"/>
      <c r="DD1345" s="118"/>
    </row>
    <row r="1346" spans="1:108" s="119" customFormat="1" ht="48" outlineLevel="2">
      <c r="A1346" s="178">
        <v>40458</v>
      </c>
      <c r="B1346" s="164" t="s">
        <v>582</v>
      </c>
      <c r="C1346" s="164" t="s">
        <v>232</v>
      </c>
      <c r="D1346" s="165" t="s">
        <v>1182</v>
      </c>
      <c r="E1346" s="163"/>
      <c r="F1346" s="105"/>
      <c r="G1346" s="105"/>
      <c r="H1346" s="105">
        <f>120*5</f>
        <v>600</v>
      </c>
      <c r="I1346" s="105">
        <v>120</v>
      </c>
      <c r="J1346" s="105">
        <v>86</v>
      </c>
      <c r="K1346" s="105"/>
      <c r="L1346" s="105">
        <v>2</v>
      </c>
      <c r="M1346" s="105">
        <v>1</v>
      </c>
      <c r="N1346" s="105"/>
      <c r="O1346" s="105">
        <v>2</v>
      </c>
      <c r="P1346" s="105"/>
      <c r="Q1346" s="105"/>
      <c r="R1346" s="105">
        <v>1</v>
      </c>
      <c r="S1346" s="105"/>
      <c r="T1346" s="106">
        <v>300</v>
      </c>
      <c r="U1346" s="151" t="s">
        <v>414</v>
      </c>
      <c r="V1346" s="1"/>
      <c r="W1346" s="68">
        <f t="shared" si="334"/>
        <v>0</v>
      </c>
      <c r="X1346" s="68">
        <f t="shared" si="335"/>
        <v>0</v>
      </c>
      <c r="Y1346" s="68">
        <f t="shared" si="336"/>
        <v>0</v>
      </c>
      <c r="Z1346" s="68">
        <f t="shared" si="337"/>
        <v>0</v>
      </c>
      <c r="AA1346" s="68"/>
      <c r="AB1346" s="68">
        <v>0</v>
      </c>
      <c r="AC1346" s="69">
        <f t="shared" si="338"/>
        <v>0</v>
      </c>
      <c r="AD1346" s="70">
        <v>0</v>
      </c>
      <c r="AE1346" s="63">
        <v>40462</v>
      </c>
      <c r="AF1346" s="72"/>
      <c r="AG1346" s="63" t="s">
        <v>954</v>
      </c>
      <c r="AH1346" s="23" t="s">
        <v>955</v>
      </c>
      <c r="AI1346" s="60"/>
      <c r="AJ1346" s="124" t="s">
        <v>842</v>
      </c>
      <c r="AK1346" s="121" t="s">
        <v>826</v>
      </c>
      <c r="AL1346" s="107"/>
      <c r="AM1346" s="108"/>
      <c r="AN1346" s="109"/>
      <c r="AO1346" s="108"/>
      <c r="AP1346" s="108"/>
      <c r="AQ1346" s="108"/>
      <c r="AR1346" s="108"/>
      <c r="AS1346" s="108"/>
      <c r="AT1346" s="108"/>
      <c r="AU1346" s="108"/>
      <c r="AV1346" s="108"/>
      <c r="AW1346" s="108"/>
      <c r="AX1346" s="108"/>
      <c r="AY1346" s="108"/>
      <c r="AZ1346" s="108"/>
      <c r="BA1346" s="108"/>
      <c r="BB1346" s="108"/>
      <c r="BC1346" s="108"/>
      <c r="BD1346" s="108"/>
      <c r="BE1346" s="108"/>
      <c r="BF1346" s="108"/>
      <c r="BG1346" s="108"/>
      <c r="BH1346" s="108"/>
      <c r="BI1346" s="108"/>
      <c r="BJ1346" s="108"/>
      <c r="BK1346" s="108"/>
      <c r="BL1346" s="108"/>
      <c r="BM1346" s="108"/>
      <c r="BN1346" s="108"/>
      <c r="BO1346" s="108"/>
      <c r="BP1346" s="108"/>
      <c r="BQ1346" s="108"/>
      <c r="BR1346" s="108"/>
      <c r="BS1346" s="108"/>
      <c r="BT1346" s="108"/>
      <c r="BU1346" s="108"/>
      <c r="BV1346" s="108"/>
      <c r="BW1346" s="108"/>
      <c r="BX1346" s="108"/>
      <c r="BY1346" s="108"/>
      <c r="BZ1346" s="108"/>
      <c r="CA1346" s="108"/>
      <c r="CB1346" s="108"/>
      <c r="CC1346" s="108"/>
      <c r="CD1346" s="108"/>
      <c r="CE1346" s="108"/>
      <c r="CF1346" s="108"/>
      <c r="CG1346" s="108"/>
      <c r="CH1346" s="108"/>
      <c r="CI1346" s="108"/>
      <c r="CJ1346" s="108"/>
      <c r="CK1346" s="108"/>
      <c r="CL1346" s="108"/>
      <c r="CM1346" s="108"/>
      <c r="CN1346" s="110"/>
      <c r="CO1346" s="111"/>
      <c r="CP1346" s="110"/>
      <c r="CQ1346" s="111"/>
      <c r="CR1346" s="110"/>
      <c r="CS1346" s="111"/>
      <c r="CT1346" s="112">
        <f t="shared" si="339"/>
        <v>0</v>
      </c>
      <c r="CU1346" s="113"/>
      <c r="CV1346" s="114"/>
      <c r="CW1346" s="115"/>
      <c r="CX1346" s="116"/>
      <c r="CY1346" s="117"/>
      <c r="CZ1346" s="116"/>
      <c r="DA1346" s="113"/>
      <c r="DB1346" s="114"/>
      <c r="DC1346" s="64"/>
      <c r="DD1346" s="118"/>
    </row>
    <row r="1347" spans="1:108" s="119" customFormat="1" ht="22.5" outlineLevel="2">
      <c r="A1347" s="178">
        <v>40460</v>
      </c>
      <c r="B1347" s="164" t="s">
        <v>582</v>
      </c>
      <c r="C1347" s="164" t="s">
        <v>542</v>
      </c>
      <c r="D1347" s="165" t="s">
        <v>1182</v>
      </c>
      <c r="E1347" s="187"/>
      <c r="F1347" s="105"/>
      <c r="G1347" s="105"/>
      <c r="H1347" s="105">
        <v>250</v>
      </c>
      <c r="I1347" s="105">
        <v>50</v>
      </c>
      <c r="J1347" s="105">
        <v>30</v>
      </c>
      <c r="K1347" s="105">
        <v>20</v>
      </c>
      <c r="L1347" s="105">
        <v>3</v>
      </c>
      <c r="M1347" s="105">
        <v>1</v>
      </c>
      <c r="N1347" s="105"/>
      <c r="O1347" s="105">
        <v>1</v>
      </c>
      <c r="P1347" s="105"/>
      <c r="Q1347" s="105"/>
      <c r="R1347" s="105">
        <v>2</v>
      </c>
      <c r="S1347" s="105"/>
      <c r="T1347" s="106">
        <v>100</v>
      </c>
      <c r="U1347" s="130"/>
      <c r="V1347" s="1"/>
      <c r="W1347" s="68">
        <f t="shared" si="334"/>
        <v>0</v>
      </c>
      <c r="X1347" s="68">
        <f t="shared" si="335"/>
        <v>0</v>
      </c>
      <c r="Y1347" s="68">
        <f t="shared" si="336"/>
        <v>0</v>
      </c>
      <c r="Z1347" s="68">
        <f t="shared" si="337"/>
        <v>0</v>
      </c>
      <c r="AA1347" s="68"/>
      <c r="AB1347" s="68">
        <v>0</v>
      </c>
      <c r="AC1347" s="69">
        <f t="shared" si="338"/>
        <v>0</v>
      </c>
      <c r="AD1347" s="70">
        <v>0</v>
      </c>
      <c r="AE1347" s="63">
        <v>40462</v>
      </c>
      <c r="AF1347" s="72"/>
      <c r="AG1347" s="63" t="s">
        <v>954</v>
      </c>
      <c r="AH1347" s="23" t="s">
        <v>955</v>
      </c>
      <c r="AI1347" s="60"/>
      <c r="AJ1347" s="124" t="s">
        <v>842</v>
      </c>
      <c r="AK1347" s="121" t="s">
        <v>231</v>
      </c>
      <c r="AL1347" s="107"/>
      <c r="AM1347" s="108"/>
      <c r="AN1347" s="109"/>
      <c r="AO1347" s="108"/>
      <c r="AP1347" s="108"/>
      <c r="AQ1347" s="108"/>
      <c r="AR1347" s="108"/>
      <c r="AS1347" s="108"/>
      <c r="AT1347" s="108"/>
      <c r="AU1347" s="108"/>
      <c r="AV1347" s="108"/>
      <c r="AW1347" s="108"/>
      <c r="AX1347" s="108"/>
      <c r="AY1347" s="108"/>
      <c r="AZ1347" s="108"/>
      <c r="BA1347" s="108"/>
      <c r="BB1347" s="108"/>
      <c r="BC1347" s="108"/>
      <c r="BD1347" s="108"/>
      <c r="BE1347" s="108"/>
      <c r="BF1347" s="108"/>
      <c r="BG1347" s="108"/>
      <c r="BH1347" s="108"/>
      <c r="BI1347" s="108"/>
      <c r="BJ1347" s="108"/>
      <c r="BK1347" s="108"/>
      <c r="BL1347" s="108"/>
      <c r="BM1347" s="108"/>
      <c r="BN1347" s="108"/>
      <c r="BO1347" s="108"/>
      <c r="BP1347" s="108"/>
      <c r="BQ1347" s="108"/>
      <c r="BR1347" s="108"/>
      <c r="BS1347" s="108"/>
      <c r="BT1347" s="108"/>
      <c r="BU1347" s="108"/>
      <c r="BV1347" s="108"/>
      <c r="BW1347" s="108"/>
      <c r="BX1347" s="108"/>
      <c r="BY1347" s="108"/>
      <c r="BZ1347" s="108"/>
      <c r="CA1347" s="108"/>
      <c r="CB1347" s="108"/>
      <c r="CC1347" s="108"/>
      <c r="CD1347" s="108"/>
      <c r="CE1347" s="108"/>
      <c r="CF1347" s="108"/>
      <c r="CG1347" s="108"/>
      <c r="CH1347" s="108"/>
      <c r="CI1347" s="108"/>
      <c r="CJ1347" s="108"/>
      <c r="CK1347" s="108"/>
      <c r="CL1347" s="108"/>
      <c r="CM1347" s="108"/>
      <c r="CN1347" s="110"/>
      <c r="CO1347" s="111"/>
      <c r="CP1347" s="110"/>
      <c r="CQ1347" s="111"/>
      <c r="CR1347" s="110"/>
      <c r="CS1347" s="111"/>
      <c r="CT1347" s="112">
        <f t="shared" si="339"/>
        <v>0</v>
      </c>
      <c r="CU1347" s="113"/>
      <c r="CV1347" s="114"/>
      <c r="CW1347" s="115"/>
      <c r="CX1347" s="116"/>
      <c r="CY1347" s="117"/>
      <c r="CZ1347" s="116"/>
      <c r="DA1347" s="113"/>
      <c r="DB1347" s="114"/>
      <c r="DC1347" s="64"/>
      <c r="DD1347" s="118"/>
    </row>
    <row r="1348" spans="1:108" s="119" customFormat="1" ht="45" outlineLevel="2">
      <c r="A1348" s="178">
        <v>40466</v>
      </c>
      <c r="B1348" s="164" t="s">
        <v>582</v>
      </c>
      <c r="C1348" s="164" t="s">
        <v>953</v>
      </c>
      <c r="D1348" s="166" t="s">
        <v>1262</v>
      </c>
      <c r="E1348" s="163"/>
      <c r="F1348" s="105"/>
      <c r="G1348" s="105"/>
      <c r="H1348" s="105"/>
      <c r="I1348" s="105"/>
      <c r="J1348" s="105"/>
      <c r="K1348" s="105"/>
      <c r="L1348" s="105"/>
      <c r="M1348" s="105"/>
      <c r="N1348" s="105"/>
      <c r="O1348" s="105"/>
      <c r="P1348" s="105"/>
      <c r="Q1348" s="105"/>
      <c r="R1348" s="105"/>
      <c r="S1348" s="105"/>
      <c r="T1348" s="106"/>
      <c r="U1348" s="130"/>
      <c r="V1348" s="1">
        <v>40479</v>
      </c>
      <c r="W1348" s="68">
        <f t="shared" si="334"/>
        <v>230898400</v>
      </c>
      <c r="X1348" s="68">
        <f t="shared" si="335"/>
        <v>170000000</v>
      </c>
      <c r="Y1348" s="68">
        <f t="shared" si="336"/>
        <v>0</v>
      </c>
      <c r="Z1348" s="68">
        <f t="shared" si="337"/>
        <v>0</v>
      </c>
      <c r="AA1348" s="68"/>
      <c r="AB1348" s="68">
        <v>0</v>
      </c>
      <c r="AC1348" s="69">
        <f t="shared" si="338"/>
        <v>400898400</v>
      </c>
      <c r="AD1348" s="70">
        <v>0</v>
      </c>
      <c r="AE1348" s="63">
        <v>40466</v>
      </c>
      <c r="AF1348" s="72">
        <v>56322</v>
      </c>
      <c r="AG1348" s="63" t="s">
        <v>954</v>
      </c>
      <c r="AH1348" s="23" t="s">
        <v>955</v>
      </c>
      <c r="AI1348" s="75" t="s">
        <v>351</v>
      </c>
      <c r="AJ1348" s="124" t="s">
        <v>1492</v>
      </c>
      <c r="AK1348" s="121" t="s">
        <v>1812</v>
      </c>
      <c r="AL1348" s="107"/>
      <c r="AM1348" s="108"/>
      <c r="AN1348" s="109"/>
      <c r="AO1348" s="108"/>
      <c r="AP1348" s="108"/>
      <c r="AQ1348" s="108"/>
      <c r="AR1348" s="108"/>
      <c r="AS1348" s="108"/>
      <c r="AT1348" s="108"/>
      <c r="AU1348" s="108"/>
      <c r="AV1348" s="108"/>
      <c r="AW1348" s="108"/>
      <c r="AX1348" s="108"/>
      <c r="AY1348" s="108"/>
      <c r="AZ1348" s="108">
        <v>1000</v>
      </c>
      <c r="BA1348" s="108">
        <f>1000*56000</f>
        <v>56000000</v>
      </c>
      <c r="BB1348" s="108"/>
      <c r="BC1348" s="108"/>
      <c r="BD1348" s="108"/>
      <c r="BE1348" s="108"/>
      <c r="BF1348" s="108"/>
      <c r="BG1348" s="108"/>
      <c r="BH1348" s="108"/>
      <c r="BI1348" s="108"/>
      <c r="BJ1348" s="108"/>
      <c r="BK1348" s="108"/>
      <c r="BL1348" s="108"/>
      <c r="BM1348" s="108"/>
      <c r="BN1348" s="108"/>
      <c r="BO1348" s="108"/>
      <c r="BP1348" s="108"/>
      <c r="BQ1348" s="108"/>
      <c r="BR1348" s="108"/>
      <c r="BS1348" s="108"/>
      <c r="BT1348" s="108"/>
      <c r="BU1348" s="108"/>
      <c r="BV1348" s="108"/>
      <c r="BW1348" s="108"/>
      <c r="BX1348" s="108"/>
      <c r="BY1348" s="108"/>
      <c r="BZ1348" s="108"/>
      <c r="CA1348" s="108"/>
      <c r="CB1348" s="108"/>
      <c r="CC1348" s="108"/>
      <c r="CD1348" s="108"/>
      <c r="CE1348" s="108"/>
      <c r="CF1348" s="108"/>
      <c r="CG1348" s="108"/>
      <c r="CH1348" s="108">
        <v>1000</v>
      </c>
      <c r="CI1348" s="108">
        <f>1000*21500</f>
        <v>21500000</v>
      </c>
      <c r="CJ1348" s="108"/>
      <c r="CK1348" s="108"/>
      <c r="CL1348" s="108"/>
      <c r="CM1348" s="108"/>
      <c r="CN1348" s="110">
        <v>2000</v>
      </c>
      <c r="CO1348" s="111">
        <f>2000*36999.36</f>
        <v>73998720</v>
      </c>
      <c r="CP1348" s="110">
        <v>2000</v>
      </c>
      <c r="CQ1348" s="111">
        <f>2000*39699.84</f>
        <v>79399680</v>
      </c>
      <c r="CR1348" s="110"/>
      <c r="CS1348" s="111"/>
      <c r="CT1348" s="112">
        <f t="shared" si="339"/>
        <v>230898400</v>
      </c>
      <c r="CU1348" s="113"/>
      <c r="CV1348" s="114"/>
      <c r="CW1348" s="115">
        <v>2000</v>
      </c>
      <c r="CX1348" s="116">
        <f>2000*85000</f>
        <v>170000000</v>
      </c>
      <c r="CY1348" s="117"/>
      <c r="CZ1348" s="116"/>
      <c r="DA1348" s="113"/>
      <c r="DB1348" s="114"/>
      <c r="DC1348" s="64"/>
      <c r="DD1348" s="118"/>
    </row>
    <row r="1349" spans="1:108" s="119" customFormat="1" outlineLevel="2">
      <c r="A1349" s="178">
        <v>40468</v>
      </c>
      <c r="B1349" s="164" t="s">
        <v>582</v>
      </c>
      <c r="C1349" s="164" t="s">
        <v>2308</v>
      </c>
      <c r="D1349" s="166" t="s">
        <v>435</v>
      </c>
      <c r="E1349" s="163"/>
      <c r="F1349" s="105"/>
      <c r="G1349" s="105"/>
      <c r="H1349" s="105">
        <v>50</v>
      </c>
      <c r="I1349" s="105">
        <v>10</v>
      </c>
      <c r="J1349" s="105"/>
      <c r="K1349" s="105">
        <v>10</v>
      </c>
      <c r="L1349" s="105"/>
      <c r="M1349" s="105"/>
      <c r="N1349" s="105"/>
      <c r="O1349" s="105"/>
      <c r="P1349" s="105"/>
      <c r="Q1349" s="105"/>
      <c r="R1349" s="105">
        <v>1</v>
      </c>
      <c r="S1349" s="105">
        <v>2</v>
      </c>
      <c r="T1349" s="106"/>
      <c r="U1349" s="130"/>
      <c r="V1349" s="1"/>
      <c r="W1349" s="68">
        <f t="shared" si="334"/>
        <v>0</v>
      </c>
      <c r="X1349" s="68">
        <f t="shared" si="335"/>
        <v>0</v>
      </c>
      <c r="Y1349" s="68">
        <f t="shared" si="336"/>
        <v>0</v>
      </c>
      <c r="Z1349" s="68">
        <f t="shared" si="337"/>
        <v>0</v>
      </c>
      <c r="AA1349" s="68"/>
      <c r="AB1349" s="68">
        <v>0</v>
      </c>
      <c r="AC1349" s="69">
        <f t="shared" si="338"/>
        <v>0</v>
      </c>
      <c r="AD1349" s="70">
        <v>0</v>
      </c>
      <c r="AE1349" s="63">
        <v>40470</v>
      </c>
      <c r="AF1349" s="72"/>
      <c r="AG1349" s="63" t="s">
        <v>938</v>
      </c>
      <c r="AH1349" s="23" t="s">
        <v>939</v>
      </c>
      <c r="AI1349" s="60"/>
      <c r="AJ1349" s="124" t="s">
        <v>1608</v>
      </c>
      <c r="AK1349" s="121" t="s">
        <v>2309</v>
      </c>
      <c r="AL1349" s="107"/>
      <c r="AM1349" s="108"/>
      <c r="AN1349" s="109"/>
      <c r="AO1349" s="108"/>
      <c r="AP1349" s="108"/>
      <c r="AQ1349" s="108"/>
      <c r="AR1349" s="108"/>
      <c r="AS1349" s="108"/>
      <c r="AT1349" s="108"/>
      <c r="AU1349" s="108"/>
      <c r="AV1349" s="108"/>
      <c r="AW1349" s="108"/>
      <c r="AX1349" s="108"/>
      <c r="AY1349" s="108"/>
      <c r="AZ1349" s="108"/>
      <c r="BA1349" s="108"/>
      <c r="BB1349" s="108"/>
      <c r="BC1349" s="108"/>
      <c r="BD1349" s="108"/>
      <c r="BE1349" s="108"/>
      <c r="BF1349" s="108"/>
      <c r="BG1349" s="108"/>
      <c r="BH1349" s="108"/>
      <c r="BI1349" s="108"/>
      <c r="BJ1349" s="108"/>
      <c r="BK1349" s="108"/>
      <c r="BL1349" s="108"/>
      <c r="BM1349" s="108"/>
      <c r="BN1349" s="108"/>
      <c r="BO1349" s="108"/>
      <c r="BP1349" s="108"/>
      <c r="BQ1349" s="108"/>
      <c r="BR1349" s="108"/>
      <c r="BS1349" s="108"/>
      <c r="BT1349" s="108"/>
      <c r="BU1349" s="108"/>
      <c r="BV1349" s="108"/>
      <c r="BW1349" s="108"/>
      <c r="BX1349" s="108"/>
      <c r="BY1349" s="108"/>
      <c r="BZ1349" s="108"/>
      <c r="CA1349" s="108"/>
      <c r="CB1349" s="108"/>
      <c r="CC1349" s="108"/>
      <c r="CD1349" s="108"/>
      <c r="CE1349" s="108"/>
      <c r="CF1349" s="108"/>
      <c r="CG1349" s="108"/>
      <c r="CH1349" s="108"/>
      <c r="CI1349" s="108"/>
      <c r="CJ1349" s="108"/>
      <c r="CK1349" s="108"/>
      <c r="CL1349" s="108"/>
      <c r="CM1349" s="108"/>
      <c r="CN1349" s="110"/>
      <c r="CO1349" s="111"/>
      <c r="CP1349" s="110"/>
      <c r="CQ1349" s="111"/>
      <c r="CR1349" s="110"/>
      <c r="CS1349" s="111"/>
      <c r="CT1349" s="112">
        <f t="shared" si="339"/>
        <v>0</v>
      </c>
      <c r="CU1349" s="113"/>
      <c r="CV1349" s="114"/>
      <c r="CW1349" s="115"/>
      <c r="CX1349" s="116"/>
      <c r="CY1349" s="117"/>
      <c r="CZ1349" s="116"/>
      <c r="DA1349" s="113"/>
      <c r="DB1349" s="114"/>
      <c r="DC1349" s="64"/>
      <c r="DD1349" s="118"/>
    </row>
    <row r="1350" spans="1:108" s="119" customFormat="1" outlineLevel="2">
      <c r="A1350" s="178">
        <v>40483</v>
      </c>
      <c r="B1350" s="164" t="s">
        <v>582</v>
      </c>
      <c r="C1350" s="164" t="s">
        <v>1236</v>
      </c>
      <c r="D1350" s="166" t="s">
        <v>1262</v>
      </c>
      <c r="E1350" s="163"/>
      <c r="F1350" s="105"/>
      <c r="G1350" s="105"/>
      <c r="H1350" s="105">
        <f>45*5</f>
        <v>225</v>
      </c>
      <c r="I1350" s="105">
        <v>45</v>
      </c>
      <c r="J1350" s="105"/>
      <c r="K1350" s="105">
        <v>20</v>
      </c>
      <c r="L1350" s="105"/>
      <c r="M1350" s="105"/>
      <c r="N1350" s="105"/>
      <c r="O1350" s="105"/>
      <c r="P1350" s="105"/>
      <c r="Q1350" s="105"/>
      <c r="R1350" s="105"/>
      <c r="S1350" s="105"/>
      <c r="T1350" s="106">
        <v>150</v>
      </c>
      <c r="U1350" s="130" t="s">
        <v>414</v>
      </c>
      <c r="V1350" s="1"/>
      <c r="W1350" s="68">
        <f t="shared" si="334"/>
        <v>0</v>
      </c>
      <c r="X1350" s="68">
        <f t="shared" si="335"/>
        <v>0</v>
      </c>
      <c r="Y1350" s="68">
        <f t="shared" si="336"/>
        <v>0</v>
      </c>
      <c r="Z1350" s="68">
        <f t="shared" si="337"/>
        <v>0</v>
      </c>
      <c r="AA1350" s="68"/>
      <c r="AB1350" s="68">
        <v>0</v>
      </c>
      <c r="AC1350" s="69">
        <f t="shared" si="338"/>
        <v>0</v>
      </c>
      <c r="AD1350" s="70">
        <v>0</v>
      </c>
      <c r="AE1350" s="63">
        <v>38682</v>
      </c>
      <c r="AF1350" s="72">
        <v>67579</v>
      </c>
      <c r="AG1350" s="63"/>
      <c r="AH1350" s="23"/>
      <c r="AI1350" s="60"/>
      <c r="AJ1350" s="124"/>
      <c r="AK1350" s="121" t="s">
        <v>1960</v>
      </c>
      <c r="AL1350" s="107"/>
      <c r="AM1350" s="108"/>
      <c r="AN1350" s="109"/>
      <c r="AO1350" s="108"/>
      <c r="AP1350" s="108"/>
      <c r="AQ1350" s="108"/>
      <c r="AR1350" s="108"/>
      <c r="AS1350" s="108"/>
      <c r="AT1350" s="108"/>
      <c r="AU1350" s="108"/>
      <c r="AV1350" s="108"/>
      <c r="AW1350" s="108"/>
      <c r="AX1350" s="108"/>
      <c r="AY1350" s="108"/>
      <c r="AZ1350" s="108"/>
      <c r="BA1350" s="108"/>
      <c r="BB1350" s="108"/>
      <c r="BC1350" s="108"/>
      <c r="BD1350" s="108"/>
      <c r="BE1350" s="108"/>
      <c r="BF1350" s="108"/>
      <c r="BG1350" s="108"/>
      <c r="BH1350" s="108"/>
      <c r="BI1350" s="108"/>
      <c r="BJ1350" s="108"/>
      <c r="BK1350" s="108"/>
      <c r="BL1350" s="108"/>
      <c r="BM1350" s="108"/>
      <c r="BN1350" s="108"/>
      <c r="BO1350" s="108"/>
      <c r="BP1350" s="108"/>
      <c r="BQ1350" s="108"/>
      <c r="BR1350" s="108"/>
      <c r="BS1350" s="108"/>
      <c r="BT1350" s="108"/>
      <c r="BU1350" s="108"/>
      <c r="BV1350" s="108"/>
      <c r="BW1350" s="108"/>
      <c r="BX1350" s="108"/>
      <c r="BY1350" s="108"/>
      <c r="BZ1350" s="108"/>
      <c r="CA1350" s="108"/>
      <c r="CB1350" s="108"/>
      <c r="CC1350" s="108"/>
      <c r="CD1350" s="108"/>
      <c r="CE1350" s="108"/>
      <c r="CF1350" s="108"/>
      <c r="CG1350" s="108"/>
      <c r="CH1350" s="108"/>
      <c r="CI1350" s="108"/>
      <c r="CJ1350" s="108"/>
      <c r="CK1350" s="108"/>
      <c r="CL1350" s="108"/>
      <c r="CM1350" s="108"/>
      <c r="CN1350" s="110"/>
      <c r="CO1350" s="111"/>
      <c r="CP1350" s="110"/>
      <c r="CQ1350" s="111"/>
      <c r="CR1350" s="110"/>
      <c r="CS1350" s="111"/>
      <c r="CT1350" s="112">
        <f t="shared" si="339"/>
        <v>0</v>
      </c>
      <c r="CU1350" s="113"/>
      <c r="CV1350" s="114"/>
      <c r="CW1350" s="115"/>
      <c r="CX1350" s="116"/>
      <c r="CY1350" s="117"/>
      <c r="CZ1350" s="116"/>
      <c r="DA1350" s="113"/>
      <c r="DB1350" s="114"/>
      <c r="DC1350" s="64"/>
      <c r="DD1350" s="118">
        <v>1465</v>
      </c>
    </row>
    <row r="1351" spans="1:108" s="119" customFormat="1" outlineLevel="2">
      <c r="A1351" s="178">
        <v>40483</v>
      </c>
      <c r="B1351" s="164" t="s">
        <v>582</v>
      </c>
      <c r="C1351" s="164" t="s">
        <v>926</v>
      </c>
      <c r="D1351" s="166" t="s">
        <v>1262</v>
      </c>
      <c r="E1351" s="163"/>
      <c r="F1351" s="105"/>
      <c r="G1351" s="105"/>
      <c r="H1351" s="105">
        <v>300</v>
      </c>
      <c r="I1351" s="105">
        <v>60</v>
      </c>
      <c r="J1351" s="105"/>
      <c r="K1351" s="105"/>
      <c r="L1351" s="105"/>
      <c r="M1351" s="105"/>
      <c r="N1351" s="105"/>
      <c r="O1351" s="105"/>
      <c r="P1351" s="105"/>
      <c r="Q1351" s="105"/>
      <c r="R1351" s="105"/>
      <c r="S1351" s="105"/>
      <c r="T1351" s="106">
        <v>250</v>
      </c>
      <c r="U1351" s="130" t="s">
        <v>414</v>
      </c>
      <c r="V1351" s="1"/>
      <c r="W1351" s="68">
        <f t="shared" si="334"/>
        <v>0</v>
      </c>
      <c r="X1351" s="68">
        <f t="shared" si="335"/>
        <v>0</v>
      </c>
      <c r="Y1351" s="68">
        <f t="shared" si="336"/>
        <v>0</v>
      </c>
      <c r="Z1351" s="68">
        <f t="shared" si="337"/>
        <v>0</v>
      </c>
      <c r="AA1351" s="68"/>
      <c r="AB1351" s="68">
        <v>0</v>
      </c>
      <c r="AC1351" s="69">
        <f t="shared" si="338"/>
        <v>0</v>
      </c>
      <c r="AD1351" s="70">
        <v>0</v>
      </c>
      <c r="AE1351" s="63">
        <v>38682</v>
      </c>
      <c r="AF1351" s="72">
        <v>67579</v>
      </c>
      <c r="AG1351" s="63"/>
      <c r="AH1351" s="23"/>
      <c r="AI1351" s="60"/>
      <c r="AJ1351" s="124"/>
      <c r="AK1351" s="121" t="s">
        <v>1960</v>
      </c>
      <c r="AL1351" s="107"/>
      <c r="AM1351" s="108"/>
      <c r="AN1351" s="109"/>
      <c r="AO1351" s="108"/>
      <c r="AP1351" s="108"/>
      <c r="AQ1351" s="108"/>
      <c r="AR1351" s="108"/>
      <c r="AS1351" s="108"/>
      <c r="AT1351" s="108"/>
      <c r="AU1351" s="108"/>
      <c r="AV1351" s="108"/>
      <c r="AW1351" s="108"/>
      <c r="AX1351" s="108"/>
      <c r="AY1351" s="108"/>
      <c r="AZ1351" s="108"/>
      <c r="BA1351" s="108"/>
      <c r="BB1351" s="108"/>
      <c r="BC1351" s="108"/>
      <c r="BD1351" s="108"/>
      <c r="BE1351" s="108"/>
      <c r="BF1351" s="108"/>
      <c r="BG1351" s="108"/>
      <c r="BH1351" s="108"/>
      <c r="BI1351" s="108"/>
      <c r="BJ1351" s="108"/>
      <c r="BK1351" s="108"/>
      <c r="BL1351" s="108"/>
      <c r="BM1351" s="108"/>
      <c r="BN1351" s="108"/>
      <c r="BO1351" s="108"/>
      <c r="BP1351" s="108"/>
      <c r="BQ1351" s="108"/>
      <c r="BR1351" s="108"/>
      <c r="BS1351" s="108"/>
      <c r="BT1351" s="108"/>
      <c r="BU1351" s="108"/>
      <c r="BV1351" s="108"/>
      <c r="BW1351" s="108"/>
      <c r="BX1351" s="108"/>
      <c r="BY1351" s="108"/>
      <c r="BZ1351" s="108"/>
      <c r="CA1351" s="108"/>
      <c r="CB1351" s="108"/>
      <c r="CC1351" s="108"/>
      <c r="CD1351" s="108"/>
      <c r="CE1351" s="108"/>
      <c r="CF1351" s="108"/>
      <c r="CG1351" s="108"/>
      <c r="CH1351" s="108"/>
      <c r="CI1351" s="108"/>
      <c r="CJ1351" s="108"/>
      <c r="CK1351" s="108"/>
      <c r="CL1351" s="108"/>
      <c r="CM1351" s="108"/>
      <c r="CN1351" s="110"/>
      <c r="CO1351" s="111"/>
      <c r="CP1351" s="110"/>
      <c r="CQ1351" s="111"/>
      <c r="CR1351" s="110"/>
      <c r="CS1351" s="111"/>
      <c r="CT1351" s="112">
        <f t="shared" si="339"/>
        <v>0</v>
      </c>
      <c r="CU1351" s="113"/>
      <c r="CV1351" s="114"/>
      <c r="CW1351" s="115"/>
      <c r="CX1351" s="116"/>
      <c r="CY1351" s="117"/>
      <c r="CZ1351" s="116"/>
      <c r="DA1351" s="113"/>
      <c r="DB1351" s="114"/>
      <c r="DC1351" s="64"/>
      <c r="DD1351" s="118"/>
    </row>
    <row r="1352" spans="1:108" s="119" customFormat="1" outlineLevel="2">
      <c r="A1352" s="178">
        <v>40483</v>
      </c>
      <c r="B1352" s="164" t="s">
        <v>582</v>
      </c>
      <c r="C1352" s="164" t="s">
        <v>186</v>
      </c>
      <c r="D1352" s="166" t="s">
        <v>1262</v>
      </c>
      <c r="E1352" s="163"/>
      <c r="F1352" s="105"/>
      <c r="G1352" s="105"/>
      <c r="H1352" s="105">
        <f>120*5</f>
        <v>600</v>
      </c>
      <c r="I1352" s="105">
        <v>120</v>
      </c>
      <c r="J1352" s="105"/>
      <c r="K1352" s="105">
        <v>20</v>
      </c>
      <c r="L1352" s="105">
        <v>5</v>
      </c>
      <c r="M1352" s="105"/>
      <c r="N1352" s="105"/>
      <c r="O1352" s="105"/>
      <c r="P1352" s="105"/>
      <c r="Q1352" s="105"/>
      <c r="R1352" s="105"/>
      <c r="S1352" s="105"/>
      <c r="T1352" s="106">
        <v>120</v>
      </c>
      <c r="U1352" s="130" t="s">
        <v>414</v>
      </c>
      <c r="V1352" s="1"/>
      <c r="W1352" s="68">
        <f t="shared" si="334"/>
        <v>0</v>
      </c>
      <c r="X1352" s="68">
        <f t="shared" si="335"/>
        <v>0</v>
      </c>
      <c r="Y1352" s="68">
        <f t="shared" si="336"/>
        <v>0</v>
      </c>
      <c r="Z1352" s="68">
        <f t="shared" si="337"/>
        <v>0</v>
      </c>
      <c r="AA1352" s="68"/>
      <c r="AB1352" s="68">
        <v>0</v>
      </c>
      <c r="AC1352" s="69">
        <f t="shared" si="338"/>
        <v>0</v>
      </c>
      <c r="AD1352" s="70">
        <v>0</v>
      </c>
      <c r="AE1352" s="63">
        <v>38682</v>
      </c>
      <c r="AF1352" s="72">
        <v>67579</v>
      </c>
      <c r="AG1352" s="63"/>
      <c r="AH1352" s="23"/>
      <c r="AI1352" s="60"/>
      <c r="AJ1352" s="124"/>
      <c r="AK1352" s="121" t="s">
        <v>1960</v>
      </c>
      <c r="AL1352" s="107"/>
      <c r="AM1352" s="108"/>
      <c r="AN1352" s="109"/>
      <c r="AO1352" s="108"/>
      <c r="AP1352" s="108"/>
      <c r="AQ1352" s="108"/>
      <c r="AR1352" s="108"/>
      <c r="AS1352" s="108"/>
      <c r="AT1352" s="108"/>
      <c r="AU1352" s="108"/>
      <c r="AV1352" s="108"/>
      <c r="AW1352" s="108"/>
      <c r="AX1352" s="108"/>
      <c r="AY1352" s="108"/>
      <c r="AZ1352" s="108"/>
      <c r="BA1352" s="108"/>
      <c r="BB1352" s="108"/>
      <c r="BC1352" s="108"/>
      <c r="BD1352" s="108"/>
      <c r="BE1352" s="108"/>
      <c r="BF1352" s="108"/>
      <c r="BG1352" s="108"/>
      <c r="BH1352" s="108"/>
      <c r="BI1352" s="108"/>
      <c r="BJ1352" s="108"/>
      <c r="BK1352" s="108"/>
      <c r="BL1352" s="108"/>
      <c r="BM1352" s="108"/>
      <c r="BN1352" s="108"/>
      <c r="BO1352" s="108"/>
      <c r="BP1352" s="108"/>
      <c r="BQ1352" s="108"/>
      <c r="BR1352" s="108"/>
      <c r="BS1352" s="108"/>
      <c r="BT1352" s="108"/>
      <c r="BU1352" s="108"/>
      <c r="BV1352" s="108"/>
      <c r="BW1352" s="108"/>
      <c r="BX1352" s="108"/>
      <c r="BY1352" s="108"/>
      <c r="BZ1352" s="108"/>
      <c r="CA1352" s="108"/>
      <c r="CB1352" s="108"/>
      <c r="CC1352" s="108"/>
      <c r="CD1352" s="108"/>
      <c r="CE1352" s="108"/>
      <c r="CF1352" s="108"/>
      <c r="CG1352" s="108"/>
      <c r="CH1352" s="108"/>
      <c r="CI1352" s="108"/>
      <c r="CJ1352" s="108"/>
      <c r="CK1352" s="108"/>
      <c r="CL1352" s="108"/>
      <c r="CM1352" s="108"/>
      <c r="CN1352" s="110"/>
      <c r="CO1352" s="111"/>
      <c r="CP1352" s="110"/>
      <c r="CQ1352" s="111"/>
      <c r="CR1352" s="110"/>
      <c r="CS1352" s="111"/>
      <c r="CT1352" s="112">
        <f t="shared" si="339"/>
        <v>0</v>
      </c>
      <c r="CU1352" s="113"/>
      <c r="CV1352" s="114"/>
      <c r="CW1352" s="115"/>
      <c r="CX1352" s="116"/>
      <c r="CY1352" s="117"/>
      <c r="CZ1352" s="116"/>
      <c r="DA1352" s="113"/>
      <c r="DB1352" s="114"/>
      <c r="DC1352" s="64"/>
      <c r="DD1352" s="118"/>
    </row>
    <row r="1353" spans="1:108" s="119" customFormat="1" outlineLevel="2">
      <c r="A1353" s="178">
        <v>40483</v>
      </c>
      <c r="B1353" s="164" t="s">
        <v>582</v>
      </c>
      <c r="C1353" s="164" t="s">
        <v>2353</v>
      </c>
      <c r="D1353" s="166" t="s">
        <v>1262</v>
      </c>
      <c r="E1353" s="163"/>
      <c r="F1353" s="105"/>
      <c r="G1353" s="105"/>
      <c r="H1353" s="105">
        <f>180*5</f>
        <v>900</v>
      </c>
      <c r="I1353" s="105">
        <v>180</v>
      </c>
      <c r="J1353" s="105"/>
      <c r="K1353" s="105">
        <v>50</v>
      </c>
      <c r="L1353" s="105">
        <v>6</v>
      </c>
      <c r="M1353" s="105"/>
      <c r="N1353" s="105"/>
      <c r="O1353" s="105"/>
      <c r="P1353" s="105"/>
      <c r="Q1353" s="105"/>
      <c r="R1353" s="105"/>
      <c r="S1353" s="105"/>
      <c r="T1353" s="106">
        <v>200</v>
      </c>
      <c r="U1353" s="130"/>
      <c r="V1353" s="1"/>
      <c r="W1353" s="68">
        <f t="shared" si="334"/>
        <v>0</v>
      </c>
      <c r="X1353" s="68">
        <f t="shared" si="335"/>
        <v>0</v>
      </c>
      <c r="Y1353" s="68">
        <f t="shared" si="336"/>
        <v>0</v>
      </c>
      <c r="Z1353" s="68">
        <f t="shared" si="337"/>
        <v>0</v>
      </c>
      <c r="AA1353" s="68"/>
      <c r="AB1353" s="68">
        <v>0</v>
      </c>
      <c r="AC1353" s="69">
        <f t="shared" si="338"/>
        <v>0</v>
      </c>
      <c r="AD1353" s="70">
        <v>0</v>
      </c>
      <c r="AE1353" s="63"/>
      <c r="AF1353" s="72"/>
      <c r="AG1353" s="63"/>
      <c r="AH1353" s="23"/>
      <c r="AI1353" s="60"/>
      <c r="AJ1353" s="124"/>
      <c r="AK1353" s="121"/>
      <c r="AL1353" s="107"/>
      <c r="AM1353" s="108"/>
      <c r="AN1353" s="109"/>
      <c r="AO1353" s="108"/>
      <c r="AP1353" s="108"/>
      <c r="AQ1353" s="108"/>
      <c r="AR1353" s="108"/>
      <c r="AS1353" s="108"/>
      <c r="AT1353" s="108"/>
      <c r="AU1353" s="108"/>
      <c r="AV1353" s="108"/>
      <c r="AW1353" s="108"/>
      <c r="AX1353" s="108"/>
      <c r="AY1353" s="108"/>
      <c r="AZ1353" s="108"/>
      <c r="BA1353" s="108"/>
      <c r="BB1353" s="108"/>
      <c r="BC1353" s="108"/>
      <c r="BD1353" s="108"/>
      <c r="BE1353" s="108"/>
      <c r="BF1353" s="108"/>
      <c r="BG1353" s="108"/>
      <c r="BH1353" s="108"/>
      <c r="BI1353" s="108"/>
      <c r="BJ1353" s="108"/>
      <c r="BK1353" s="108"/>
      <c r="BL1353" s="108"/>
      <c r="BM1353" s="108"/>
      <c r="BN1353" s="108"/>
      <c r="BO1353" s="108"/>
      <c r="BP1353" s="108"/>
      <c r="BQ1353" s="108"/>
      <c r="BR1353" s="108"/>
      <c r="BS1353" s="108"/>
      <c r="BT1353" s="108"/>
      <c r="BU1353" s="108"/>
      <c r="BV1353" s="108"/>
      <c r="BW1353" s="108"/>
      <c r="BX1353" s="108"/>
      <c r="BY1353" s="108"/>
      <c r="BZ1353" s="108"/>
      <c r="CA1353" s="108"/>
      <c r="CB1353" s="108"/>
      <c r="CC1353" s="108"/>
      <c r="CD1353" s="108"/>
      <c r="CE1353" s="108"/>
      <c r="CF1353" s="108"/>
      <c r="CG1353" s="108"/>
      <c r="CH1353" s="108"/>
      <c r="CI1353" s="108"/>
      <c r="CJ1353" s="108"/>
      <c r="CK1353" s="108"/>
      <c r="CL1353" s="108"/>
      <c r="CM1353" s="108"/>
      <c r="CN1353" s="110"/>
      <c r="CO1353" s="111"/>
      <c r="CP1353" s="110"/>
      <c r="CQ1353" s="111"/>
      <c r="CR1353" s="110"/>
      <c r="CS1353" s="111"/>
      <c r="CT1353" s="112">
        <f t="shared" si="339"/>
        <v>0</v>
      </c>
      <c r="CU1353" s="113"/>
      <c r="CV1353" s="114"/>
      <c r="CW1353" s="115"/>
      <c r="CX1353" s="116"/>
      <c r="CY1353" s="117"/>
      <c r="CZ1353" s="116"/>
      <c r="DA1353" s="113"/>
      <c r="DB1353" s="114"/>
      <c r="DC1353" s="64"/>
      <c r="DD1353" s="118"/>
    </row>
    <row r="1354" spans="1:108" s="119" customFormat="1" outlineLevel="2">
      <c r="A1354" s="178">
        <v>40483</v>
      </c>
      <c r="B1354" s="164" t="s">
        <v>582</v>
      </c>
      <c r="C1354" s="164" t="s">
        <v>187</v>
      </c>
      <c r="D1354" s="166" t="s">
        <v>1262</v>
      </c>
      <c r="E1354" s="163"/>
      <c r="F1354" s="105"/>
      <c r="G1354" s="105"/>
      <c r="H1354" s="105">
        <f>60*5</f>
        <v>300</v>
      </c>
      <c r="I1354" s="105">
        <v>62</v>
      </c>
      <c r="J1354" s="105">
        <v>12</v>
      </c>
      <c r="K1354" s="105">
        <v>50</v>
      </c>
      <c r="L1354" s="105">
        <v>3</v>
      </c>
      <c r="M1354" s="105">
        <v>1</v>
      </c>
      <c r="N1354" s="105"/>
      <c r="O1354" s="105"/>
      <c r="P1354" s="105"/>
      <c r="Q1354" s="105"/>
      <c r="R1354" s="105"/>
      <c r="S1354" s="105"/>
      <c r="T1354" s="106">
        <v>180</v>
      </c>
      <c r="U1354" s="130" t="s">
        <v>414</v>
      </c>
      <c r="V1354" s="1"/>
      <c r="W1354" s="68">
        <f t="shared" si="334"/>
        <v>0</v>
      </c>
      <c r="X1354" s="68">
        <f t="shared" si="335"/>
        <v>0</v>
      </c>
      <c r="Y1354" s="68">
        <f t="shared" si="336"/>
        <v>0</v>
      </c>
      <c r="Z1354" s="68">
        <f t="shared" si="337"/>
        <v>0</v>
      </c>
      <c r="AA1354" s="68"/>
      <c r="AB1354" s="68">
        <v>0</v>
      </c>
      <c r="AC1354" s="69">
        <f t="shared" si="338"/>
        <v>0</v>
      </c>
      <c r="AD1354" s="70">
        <v>0</v>
      </c>
      <c r="AE1354" s="63">
        <v>38682</v>
      </c>
      <c r="AF1354" s="72">
        <v>67579</v>
      </c>
      <c r="AG1354" s="63"/>
      <c r="AH1354" s="23"/>
      <c r="AI1354" s="60"/>
      <c r="AJ1354" s="124"/>
      <c r="AK1354" s="121" t="s">
        <v>1960</v>
      </c>
      <c r="AL1354" s="107"/>
      <c r="AM1354" s="108"/>
      <c r="AN1354" s="109"/>
      <c r="AO1354" s="108"/>
      <c r="AP1354" s="108"/>
      <c r="AQ1354" s="108"/>
      <c r="AR1354" s="108"/>
      <c r="AS1354" s="108"/>
      <c r="AT1354" s="108"/>
      <c r="AU1354" s="108"/>
      <c r="AV1354" s="108"/>
      <c r="AW1354" s="108"/>
      <c r="AX1354" s="108"/>
      <c r="AY1354" s="108"/>
      <c r="AZ1354" s="108"/>
      <c r="BA1354" s="108"/>
      <c r="BB1354" s="108"/>
      <c r="BC1354" s="108"/>
      <c r="BD1354" s="108"/>
      <c r="BE1354" s="108"/>
      <c r="BF1354" s="108"/>
      <c r="BG1354" s="108"/>
      <c r="BH1354" s="108"/>
      <c r="BI1354" s="108"/>
      <c r="BJ1354" s="108"/>
      <c r="BK1354" s="108"/>
      <c r="BL1354" s="108"/>
      <c r="BM1354" s="108"/>
      <c r="BN1354" s="108"/>
      <c r="BO1354" s="108"/>
      <c r="BP1354" s="108"/>
      <c r="BQ1354" s="108"/>
      <c r="BR1354" s="108"/>
      <c r="BS1354" s="108"/>
      <c r="BT1354" s="108"/>
      <c r="BU1354" s="108"/>
      <c r="BV1354" s="108"/>
      <c r="BW1354" s="108"/>
      <c r="BX1354" s="108"/>
      <c r="BY1354" s="108"/>
      <c r="BZ1354" s="108"/>
      <c r="CA1354" s="108"/>
      <c r="CB1354" s="108"/>
      <c r="CC1354" s="108"/>
      <c r="CD1354" s="108"/>
      <c r="CE1354" s="108"/>
      <c r="CF1354" s="108"/>
      <c r="CG1354" s="108"/>
      <c r="CH1354" s="108"/>
      <c r="CI1354" s="108"/>
      <c r="CJ1354" s="108"/>
      <c r="CK1354" s="108"/>
      <c r="CL1354" s="108"/>
      <c r="CM1354" s="108"/>
      <c r="CN1354" s="110"/>
      <c r="CO1354" s="111"/>
      <c r="CP1354" s="110"/>
      <c r="CQ1354" s="111"/>
      <c r="CR1354" s="110"/>
      <c r="CS1354" s="111"/>
      <c r="CT1354" s="112">
        <f t="shared" si="339"/>
        <v>0</v>
      </c>
      <c r="CU1354" s="113"/>
      <c r="CV1354" s="114"/>
      <c r="CW1354" s="115"/>
      <c r="CX1354" s="116"/>
      <c r="CY1354" s="117"/>
      <c r="CZ1354" s="116"/>
      <c r="DA1354" s="113"/>
      <c r="DB1354" s="114"/>
      <c r="DC1354" s="64"/>
      <c r="DD1354" s="118"/>
    </row>
    <row r="1355" spans="1:108" s="119" customFormat="1" outlineLevel="2">
      <c r="A1355" s="178">
        <v>40483</v>
      </c>
      <c r="B1355" s="164" t="s">
        <v>582</v>
      </c>
      <c r="C1355" s="164" t="s">
        <v>188</v>
      </c>
      <c r="D1355" s="166" t="s">
        <v>1262</v>
      </c>
      <c r="E1355" s="163"/>
      <c r="F1355" s="105"/>
      <c r="G1355" s="105"/>
      <c r="H1355" s="105">
        <f>60*5</f>
        <v>300</v>
      </c>
      <c r="I1355" s="105">
        <v>60</v>
      </c>
      <c r="J1355" s="105"/>
      <c r="K1355" s="105">
        <v>50</v>
      </c>
      <c r="L1355" s="105">
        <v>2</v>
      </c>
      <c r="M1355" s="105"/>
      <c r="N1355" s="105"/>
      <c r="O1355" s="105"/>
      <c r="P1355" s="105"/>
      <c r="Q1355" s="105"/>
      <c r="R1355" s="105"/>
      <c r="S1355" s="105"/>
      <c r="T1355" s="106">
        <v>80</v>
      </c>
      <c r="U1355" s="130" t="s">
        <v>414</v>
      </c>
      <c r="V1355" s="1"/>
      <c r="W1355" s="68">
        <f t="shared" si="334"/>
        <v>0</v>
      </c>
      <c r="X1355" s="68">
        <f t="shared" si="335"/>
        <v>0</v>
      </c>
      <c r="Y1355" s="68">
        <f t="shared" si="336"/>
        <v>0</v>
      </c>
      <c r="Z1355" s="68">
        <f t="shared" si="337"/>
        <v>0</v>
      </c>
      <c r="AA1355" s="68"/>
      <c r="AB1355" s="68">
        <v>0</v>
      </c>
      <c r="AC1355" s="69">
        <f t="shared" si="338"/>
        <v>0</v>
      </c>
      <c r="AD1355" s="70">
        <v>0</v>
      </c>
      <c r="AE1355" s="63">
        <v>38682</v>
      </c>
      <c r="AF1355" s="72">
        <v>67579</v>
      </c>
      <c r="AG1355" s="63"/>
      <c r="AH1355" s="23"/>
      <c r="AI1355" s="60"/>
      <c r="AJ1355" s="124"/>
      <c r="AK1355" s="121" t="s">
        <v>1960</v>
      </c>
      <c r="AL1355" s="107"/>
      <c r="AM1355" s="108"/>
      <c r="AN1355" s="109"/>
      <c r="AO1355" s="108"/>
      <c r="AP1355" s="108"/>
      <c r="AQ1355" s="108"/>
      <c r="AR1355" s="108"/>
      <c r="AS1355" s="108"/>
      <c r="AT1355" s="108"/>
      <c r="AU1355" s="108"/>
      <c r="AV1355" s="108"/>
      <c r="AW1355" s="108"/>
      <c r="AX1355" s="108"/>
      <c r="AY1355" s="108"/>
      <c r="AZ1355" s="108"/>
      <c r="BA1355" s="108"/>
      <c r="BB1355" s="108"/>
      <c r="BC1355" s="108"/>
      <c r="BD1355" s="108"/>
      <c r="BE1355" s="108"/>
      <c r="BF1355" s="108"/>
      <c r="BG1355" s="108"/>
      <c r="BH1355" s="108"/>
      <c r="BI1355" s="108"/>
      <c r="BJ1355" s="108"/>
      <c r="BK1355" s="108"/>
      <c r="BL1355" s="108"/>
      <c r="BM1355" s="108"/>
      <c r="BN1355" s="108"/>
      <c r="BO1355" s="108"/>
      <c r="BP1355" s="108"/>
      <c r="BQ1355" s="108"/>
      <c r="BR1355" s="108"/>
      <c r="BS1355" s="108"/>
      <c r="BT1355" s="108"/>
      <c r="BU1355" s="108"/>
      <c r="BV1355" s="108"/>
      <c r="BW1355" s="108"/>
      <c r="BX1355" s="108"/>
      <c r="BY1355" s="108"/>
      <c r="BZ1355" s="108"/>
      <c r="CA1355" s="108"/>
      <c r="CB1355" s="108"/>
      <c r="CC1355" s="108"/>
      <c r="CD1355" s="108"/>
      <c r="CE1355" s="108"/>
      <c r="CF1355" s="108"/>
      <c r="CG1355" s="108"/>
      <c r="CH1355" s="108"/>
      <c r="CI1355" s="108"/>
      <c r="CJ1355" s="108"/>
      <c r="CK1355" s="108"/>
      <c r="CL1355" s="108"/>
      <c r="CM1355" s="108"/>
      <c r="CN1355" s="110"/>
      <c r="CO1355" s="111"/>
      <c r="CP1355" s="110"/>
      <c r="CQ1355" s="111"/>
      <c r="CR1355" s="110"/>
      <c r="CS1355" s="111"/>
      <c r="CT1355" s="112">
        <f t="shared" si="339"/>
        <v>0</v>
      </c>
      <c r="CU1355" s="113"/>
      <c r="CV1355" s="114"/>
      <c r="CW1355" s="115"/>
      <c r="CX1355" s="116"/>
      <c r="CY1355" s="117"/>
      <c r="CZ1355" s="116"/>
      <c r="DA1355" s="113"/>
      <c r="DB1355" s="114"/>
      <c r="DC1355" s="64"/>
      <c r="DD1355" s="118"/>
    </row>
    <row r="1356" spans="1:108" s="119" customFormat="1" outlineLevel="2">
      <c r="A1356" s="178">
        <v>40483</v>
      </c>
      <c r="B1356" s="164" t="s">
        <v>582</v>
      </c>
      <c r="C1356" s="164" t="s">
        <v>189</v>
      </c>
      <c r="D1356" s="166" t="s">
        <v>1262</v>
      </c>
      <c r="E1356" s="163"/>
      <c r="F1356" s="105"/>
      <c r="G1356" s="105"/>
      <c r="H1356" s="105">
        <f>50*5</f>
        <v>250</v>
      </c>
      <c r="I1356" s="105">
        <v>50</v>
      </c>
      <c r="J1356" s="105"/>
      <c r="K1356" s="105">
        <v>8</v>
      </c>
      <c r="L1356" s="105">
        <v>3</v>
      </c>
      <c r="M1356" s="105"/>
      <c r="N1356" s="105"/>
      <c r="O1356" s="105"/>
      <c r="P1356" s="105"/>
      <c r="Q1356" s="105"/>
      <c r="R1356" s="105"/>
      <c r="S1356" s="105"/>
      <c r="T1356" s="106">
        <v>300</v>
      </c>
      <c r="U1356" s="130" t="s">
        <v>414</v>
      </c>
      <c r="V1356" s="1"/>
      <c r="W1356" s="68">
        <f t="shared" si="334"/>
        <v>0</v>
      </c>
      <c r="X1356" s="68">
        <f t="shared" si="335"/>
        <v>0</v>
      </c>
      <c r="Y1356" s="68">
        <f t="shared" si="336"/>
        <v>0</v>
      </c>
      <c r="Z1356" s="68">
        <f t="shared" si="337"/>
        <v>0</v>
      </c>
      <c r="AA1356" s="68"/>
      <c r="AB1356" s="68">
        <v>0</v>
      </c>
      <c r="AC1356" s="69">
        <f t="shared" si="338"/>
        <v>0</v>
      </c>
      <c r="AD1356" s="70">
        <v>0</v>
      </c>
      <c r="AE1356" s="63">
        <v>38682</v>
      </c>
      <c r="AF1356" s="72">
        <v>67579</v>
      </c>
      <c r="AG1356" s="63"/>
      <c r="AH1356" s="23"/>
      <c r="AI1356" s="60"/>
      <c r="AJ1356" s="124"/>
      <c r="AK1356" s="121" t="s">
        <v>1960</v>
      </c>
      <c r="AL1356" s="107"/>
      <c r="AM1356" s="108"/>
      <c r="AN1356" s="109"/>
      <c r="AO1356" s="108"/>
      <c r="AP1356" s="108"/>
      <c r="AQ1356" s="108"/>
      <c r="AR1356" s="108"/>
      <c r="AS1356" s="108"/>
      <c r="AT1356" s="108"/>
      <c r="AU1356" s="108"/>
      <c r="AV1356" s="108"/>
      <c r="AW1356" s="108"/>
      <c r="AX1356" s="108"/>
      <c r="AY1356" s="108"/>
      <c r="AZ1356" s="108"/>
      <c r="BA1356" s="108"/>
      <c r="BB1356" s="108"/>
      <c r="BC1356" s="108"/>
      <c r="BD1356" s="108"/>
      <c r="BE1356" s="108"/>
      <c r="BF1356" s="108"/>
      <c r="BG1356" s="108"/>
      <c r="BH1356" s="108"/>
      <c r="BI1356" s="108"/>
      <c r="BJ1356" s="108"/>
      <c r="BK1356" s="108"/>
      <c r="BL1356" s="108"/>
      <c r="BM1356" s="108"/>
      <c r="BN1356" s="108"/>
      <c r="BO1356" s="108"/>
      <c r="BP1356" s="108"/>
      <c r="BQ1356" s="108"/>
      <c r="BR1356" s="108"/>
      <c r="BS1356" s="108"/>
      <c r="BT1356" s="108"/>
      <c r="BU1356" s="108"/>
      <c r="BV1356" s="108"/>
      <c r="BW1356" s="108"/>
      <c r="BX1356" s="108"/>
      <c r="BY1356" s="108"/>
      <c r="BZ1356" s="108"/>
      <c r="CA1356" s="108"/>
      <c r="CB1356" s="108"/>
      <c r="CC1356" s="108"/>
      <c r="CD1356" s="108"/>
      <c r="CE1356" s="108"/>
      <c r="CF1356" s="108"/>
      <c r="CG1356" s="108"/>
      <c r="CH1356" s="108"/>
      <c r="CI1356" s="108"/>
      <c r="CJ1356" s="108"/>
      <c r="CK1356" s="108"/>
      <c r="CL1356" s="108"/>
      <c r="CM1356" s="108"/>
      <c r="CN1356" s="110"/>
      <c r="CO1356" s="111"/>
      <c r="CP1356" s="110"/>
      <c r="CQ1356" s="111"/>
      <c r="CR1356" s="110"/>
      <c r="CS1356" s="111"/>
      <c r="CT1356" s="112">
        <f t="shared" si="339"/>
        <v>0</v>
      </c>
      <c r="CU1356" s="113"/>
      <c r="CV1356" s="114"/>
      <c r="CW1356" s="115"/>
      <c r="CX1356" s="116"/>
      <c r="CY1356" s="117"/>
      <c r="CZ1356" s="116"/>
      <c r="DA1356" s="113"/>
      <c r="DB1356" s="114"/>
      <c r="DC1356" s="64"/>
      <c r="DD1356" s="118"/>
    </row>
    <row r="1357" spans="1:108" s="119" customFormat="1" outlineLevel="2">
      <c r="A1357" s="178">
        <v>40483</v>
      </c>
      <c r="B1357" s="164" t="s">
        <v>582</v>
      </c>
      <c r="C1357" s="164" t="s">
        <v>190</v>
      </c>
      <c r="D1357" s="166" t="s">
        <v>1262</v>
      </c>
      <c r="E1357" s="163"/>
      <c r="F1357" s="105"/>
      <c r="G1357" s="105"/>
      <c r="H1357" s="105">
        <f>120*5</f>
        <v>600</v>
      </c>
      <c r="I1357" s="105">
        <v>120</v>
      </c>
      <c r="J1357" s="105">
        <v>18</v>
      </c>
      <c r="K1357" s="105">
        <v>62</v>
      </c>
      <c r="L1357" s="105">
        <v>3</v>
      </c>
      <c r="M1357" s="105">
        <v>2</v>
      </c>
      <c r="N1357" s="105"/>
      <c r="O1357" s="105"/>
      <c r="P1357" s="105"/>
      <c r="Q1357" s="105"/>
      <c r="R1357" s="105"/>
      <c r="S1357" s="105"/>
      <c r="T1357" s="106">
        <v>120</v>
      </c>
      <c r="U1357" s="130" t="s">
        <v>414</v>
      </c>
      <c r="V1357" s="1"/>
      <c r="W1357" s="68">
        <f t="shared" si="334"/>
        <v>0</v>
      </c>
      <c r="X1357" s="68">
        <f t="shared" si="335"/>
        <v>0</v>
      </c>
      <c r="Y1357" s="68">
        <f t="shared" si="336"/>
        <v>0</v>
      </c>
      <c r="Z1357" s="68">
        <f t="shared" si="337"/>
        <v>0</v>
      </c>
      <c r="AA1357" s="68"/>
      <c r="AB1357" s="68">
        <v>0</v>
      </c>
      <c r="AC1357" s="69">
        <f t="shared" si="338"/>
        <v>0</v>
      </c>
      <c r="AD1357" s="70">
        <v>0</v>
      </c>
      <c r="AE1357" s="63">
        <v>38682</v>
      </c>
      <c r="AF1357" s="72">
        <v>67579</v>
      </c>
      <c r="AG1357" s="63"/>
      <c r="AH1357" s="23"/>
      <c r="AI1357" s="60"/>
      <c r="AJ1357" s="124"/>
      <c r="AK1357" s="121" t="s">
        <v>1960</v>
      </c>
      <c r="AL1357" s="107"/>
      <c r="AM1357" s="108"/>
      <c r="AN1357" s="109"/>
      <c r="AO1357" s="108"/>
      <c r="AP1357" s="108"/>
      <c r="AQ1357" s="108"/>
      <c r="AR1357" s="108"/>
      <c r="AS1357" s="108"/>
      <c r="AT1357" s="108"/>
      <c r="AU1357" s="108"/>
      <c r="AV1357" s="108"/>
      <c r="AW1357" s="108"/>
      <c r="AX1357" s="108"/>
      <c r="AY1357" s="108"/>
      <c r="AZ1357" s="108"/>
      <c r="BA1357" s="108"/>
      <c r="BB1357" s="108"/>
      <c r="BC1357" s="108"/>
      <c r="BD1357" s="108"/>
      <c r="BE1357" s="108"/>
      <c r="BF1357" s="108"/>
      <c r="BG1357" s="108"/>
      <c r="BH1357" s="108"/>
      <c r="BI1357" s="108"/>
      <c r="BJ1357" s="108"/>
      <c r="BK1357" s="108"/>
      <c r="BL1357" s="108"/>
      <c r="BM1357" s="108"/>
      <c r="BN1357" s="108"/>
      <c r="BO1357" s="108"/>
      <c r="BP1357" s="108"/>
      <c r="BQ1357" s="108"/>
      <c r="BR1357" s="108"/>
      <c r="BS1357" s="108"/>
      <c r="BT1357" s="108"/>
      <c r="BU1357" s="108"/>
      <c r="BV1357" s="108"/>
      <c r="BW1357" s="108"/>
      <c r="BX1357" s="108"/>
      <c r="BY1357" s="108"/>
      <c r="BZ1357" s="108"/>
      <c r="CA1357" s="108"/>
      <c r="CB1357" s="108"/>
      <c r="CC1357" s="108"/>
      <c r="CD1357" s="108"/>
      <c r="CE1357" s="108"/>
      <c r="CF1357" s="108"/>
      <c r="CG1357" s="108"/>
      <c r="CH1357" s="108"/>
      <c r="CI1357" s="108"/>
      <c r="CJ1357" s="108"/>
      <c r="CK1357" s="108"/>
      <c r="CL1357" s="108"/>
      <c r="CM1357" s="108"/>
      <c r="CN1357" s="110"/>
      <c r="CO1357" s="111"/>
      <c r="CP1357" s="110"/>
      <c r="CQ1357" s="111"/>
      <c r="CR1357" s="110"/>
      <c r="CS1357" s="111"/>
      <c r="CT1357" s="112">
        <f t="shared" si="339"/>
        <v>0</v>
      </c>
      <c r="CU1357" s="113"/>
      <c r="CV1357" s="114"/>
      <c r="CW1357" s="115"/>
      <c r="CX1357" s="116"/>
      <c r="CY1357" s="117"/>
      <c r="CZ1357" s="116"/>
      <c r="DA1357" s="113"/>
      <c r="DB1357" s="114"/>
      <c r="DC1357" s="64"/>
      <c r="DD1357" s="118"/>
    </row>
    <row r="1358" spans="1:108" s="119" customFormat="1" ht="22.5" outlineLevel="2">
      <c r="A1358" s="178">
        <v>40483</v>
      </c>
      <c r="B1358" s="164" t="s">
        <v>582</v>
      </c>
      <c r="C1358" s="164" t="s">
        <v>191</v>
      </c>
      <c r="D1358" s="166" t="s">
        <v>1262</v>
      </c>
      <c r="E1358" s="163"/>
      <c r="F1358" s="105"/>
      <c r="G1358" s="105"/>
      <c r="H1358" s="105">
        <f>70*5</f>
        <v>350</v>
      </c>
      <c r="I1358" s="105">
        <v>70</v>
      </c>
      <c r="J1358" s="105"/>
      <c r="K1358" s="105">
        <v>10</v>
      </c>
      <c r="L1358" s="105">
        <v>3</v>
      </c>
      <c r="M1358" s="105"/>
      <c r="N1358" s="105"/>
      <c r="O1358" s="105"/>
      <c r="P1358" s="105"/>
      <c r="Q1358" s="105"/>
      <c r="R1358" s="105"/>
      <c r="S1358" s="105"/>
      <c r="T1358" s="106">
        <v>250</v>
      </c>
      <c r="U1358" s="130" t="s">
        <v>414</v>
      </c>
      <c r="V1358" s="1"/>
      <c r="W1358" s="68">
        <f t="shared" si="334"/>
        <v>0</v>
      </c>
      <c r="X1358" s="68">
        <f t="shared" si="335"/>
        <v>0</v>
      </c>
      <c r="Y1358" s="68">
        <f t="shared" si="336"/>
        <v>0</v>
      </c>
      <c r="Z1358" s="68">
        <f t="shared" si="337"/>
        <v>0</v>
      </c>
      <c r="AA1358" s="68"/>
      <c r="AB1358" s="68">
        <v>0</v>
      </c>
      <c r="AC1358" s="69">
        <f t="shared" si="338"/>
        <v>0</v>
      </c>
      <c r="AD1358" s="70">
        <v>0</v>
      </c>
      <c r="AE1358" s="63">
        <v>38682</v>
      </c>
      <c r="AF1358" s="72">
        <v>67579</v>
      </c>
      <c r="AG1358" s="63"/>
      <c r="AH1358" s="23"/>
      <c r="AI1358" s="60"/>
      <c r="AJ1358" s="124"/>
      <c r="AK1358" s="121" t="s">
        <v>1960</v>
      </c>
      <c r="AL1358" s="107"/>
      <c r="AM1358" s="108"/>
      <c r="AN1358" s="109"/>
      <c r="AO1358" s="108"/>
      <c r="AP1358" s="108"/>
      <c r="AQ1358" s="108"/>
      <c r="AR1358" s="108"/>
      <c r="AS1358" s="108"/>
      <c r="AT1358" s="108"/>
      <c r="AU1358" s="108"/>
      <c r="AV1358" s="108"/>
      <c r="AW1358" s="108"/>
      <c r="AX1358" s="108"/>
      <c r="AY1358" s="108"/>
      <c r="AZ1358" s="108"/>
      <c r="BA1358" s="108"/>
      <c r="BB1358" s="108"/>
      <c r="BC1358" s="108"/>
      <c r="BD1358" s="108"/>
      <c r="BE1358" s="108"/>
      <c r="BF1358" s="108"/>
      <c r="BG1358" s="108"/>
      <c r="BH1358" s="108"/>
      <c r="BI1358" s="108"/>
      <c r="BJ1358" s="108"/>
      <c r="BK1358" s="108"/>
      <c r="BL1358" s="108"/>
      <c r="BM1358" s="108"/>
      <c r="BN1358" s="108"/>
      <c r="BO1358" s="108"/>
      <c r="BP1358" s="108"/>
      <c r="BQ1358" s="108"/>
      <c r="BR1358" s="108"/>
      <c r="BS1358" s="108"/>
      <c r="BT1358" s="108"/>
      <c r="BU1358" s="108"/>
      <c r="BV1358" s="108"/>
      <c r="BW1358" s="108"/>
      <c r="BX1358" s="108"/>
      <c r="BY1358" s="108"/>
      <c r="BZ1358" s="108"/>
      <c r="CA1358" s="108"/>
      <c r="CB1358" s="108"/>
      <c r="CC1358" s="108"/>
      <c r="CD1358" s="108"/>
      <c r="CE1358" s="108"/>
      <c r="CF1358" s="108"/>
      <c r="CG1358" s="108"/>
      <c r="CH1358" s="108"/>
      <c r="CI1358" s="108"/>
      <c r="CJ1358" s="108"/>
      <c r="CK1358" s="108"/>
      <c r="CL1358" s="108"/>
      <c r="CM1358" s="108"/>
      <c r="CN1358" s="110"/>
      <c r="CO1358" s="111"/>
      <c r="CP1358" s="110"/>
      <c r="CQ1358" s="111"/>
      <c r="CR1358" s="110"/>
      <c r="CS1358" s="111"/>
      <c r="CT1358" s="112">
        <f t="shared" si="339"/>
        <v>0</v>
      </c>
      <c r="CU1358" s="113"/>
      <c r="CV1358" s="114"/>
      <c r="CW1358" s="115"/>
      <c r="CX1358" s="116"/>
      <c r="CY1358" s="117"/>
      <c r="CZ1358" s="116"/>
      <c r="DA1358" s="113"/>
      <c r="DB1358" s="114"/>
      <c r="DC1358" s="64"/>
      <c r="DD1358" s="118"/>
    </row>
    <row r="1359" spans="1:108" s="119" customFormat="1" outlineLevel="2">
      <c r="A1359" s="178">
        <v>40483</v>
      </c>
      <c r="B1359" s="164" t="s">
        <v>582</v>
      </c>
      <c r="C1359" s="164" t="s">
        <v>193</v>
      </c>
      <c r="D1359" s="166" t="s">
        <v>1262</v>
      </c>
      <c r="E1359" s="163"/>
      <c r="F1359" s="105"/>
      <c r="G1359" s="105"/>
      <c r="H1359" s="105">
        <f>140*5</f>
        <v>700</v>
      </c>
      <c r="I1359" s="105">
        <v>140</v>
      </c>
      <c r="J1359" s="105">
        <v>30</v>
      </c>
      <c r="K1359" s="105">
        <v>20</v>
      </c>
      <c r="L1359" s="105">
        <v>4</v>
      </c>
      <c r="M1359" s="105"/>
      <c r="N1359" s="105"/>
      <c r="O1359" s="105"/>
      <c r="P1359" s="105"/>
      <c r="Q1359" s="105"/>
      <c r="R1359" s="105"/>
      <c r="S1359" s="105"/>
      <c r="T1359" s="106">
        <v>100</v>
      </c>
      <c r="U1359" s="130" t="s">
        <v>414</v>
      </c>
      <c r="V1359" s="1"/>
      <c r="W1359" s="68">
        <f t="shared" si="334"/>
        <v>0</v>
      </c>
      <c r="X1359" s="68">
        <f t="shared" si="335"/>
        <v>0</v>
      </c>
      <c r="Y1359" s="68">
        <f t="shared" si="336"/>
        <v>0</v>
      </c>
      <c r="Z1359" s="68">
        <f t="shared" si="337"/>
        <v>0</v>
      </c>
      <c r="AA1359" s="68"/>
      <c r="AB1359" s="68">
        <v>0</v>
      </c>
      <c r="AC1359" s="69">
        <f t="shared" si="338"/>
        <v>0</v>
      </c>
      <c r="AD1359" s="70">
        <v>0</v>
      </c>
      <c r="AE1359" s="63">
        <v>38682</v>
      </c>
      <c r="AF1359" s="72">
        <v>67579</v>
      </c>
      <c r="AG1359" s="63"/>
      <c r="AH1359" s="23"/>
      <c r="AI1359" s="60"/>
      <c r="AJ1359" s="124"/>
      <c r="AK1359" s="121" t="s">
        <v>1960</v>
      </c>
      <c r="AL1359" s="107"/>
      <c r="AM1359" s="108"/>
      <c r="AN1359" s="109"/>
      <c r="AO1359" s="108"/>
      <c r="AP1359" s="108"/>
      <c r="AQ1359" s="108"/>
      <c r="AR1359" s="108"/>
      <c r="AS1359" s="108"/>
      <c r="AT1359" s="108"/>
      <c r="AU1359" s="108"/>
      <c r="AV1359" s="108"/>
      <c r="AW1359" s="108"/>
      <c r="AX1359" s="108"/>
      <c r="AY1359" s="108"/>
      <c r="AZ1359" s="108"/>
      <c r="BA1359" s="108"/>
      <c r="BB1359" s="108"/>
      <c r="BC1359" s="108"/>
      <c r="BD1359" s="108"/>
      <c r="BE1359" s="108"/>
      <c r="BF1359" s="108"/>
      <c r="BG1359" s="108"/>
      <c r="BH1359" s="108"/>
      <c r="BI1359" s="108"/>
      <c r="BJ1359" s="108"/>
      <c r="BK1359" s="108"/>
      <c r="BL1359" s="108"/>
      <c r="BM1359" s="108"/>
      <c r="BN1359" s="108"/>
      <c r="BO1359" s="108"/>
      <c r="BP1359" s="108"/>
      <c r="BQ1359" s="108"/>
      <c r="BR1359" s="108"/>
      <c r="BS1359" s="108"/>
      <c r="BT1359" s="108"/>
      <c r="BU1359" s="108"/>
      <c r="BV1359" s="108"/>
      <c r="BW1359" s="108"/>
      <c r="BX1359" s="108"/>
      <c r="BY1359" s="108"/>
      <c r="BZ1359" s="108"/>
      <c r="CA1359" s="108"/>
      <c r="CB1359" s="108"/>
      <c r="CC1359" s="108"/>
      <c r="CD1359" s="108"/>
      <c r="CE1359" s="108"/>
      <c r="CF1359" s="108"/>
      <c r="CG1359" s="108"/>
      <c r="CH1359" s="108"/>
      <c r="CI1359" s="108"/>
      <c r="CJ1359" s="108"/>
      <c r="CK1359" s="108"/>
      <c r="CL1359" s="108"/>
      <c r="CM1359" s="108"/>
      <c r="CN1359" s="110"/>
      <c r="CO1359" s="111"/>
      <c r="CP1359" s="110"/>
      <c r="CQ1359" s="111"/>
      <c r="CR1359" s="110"/>
      <c r="CS1359" s="111"/>
      <c r="CT1359" s="112">
        <f t="shared" si="339"/>
        <v>0</v>
      </c>
      <c r="CU1359" s="113"/>
      <c r="CV1359" s="114"/>
      <c r="CW1359" s="115"/>
      <c r="CX1359" s="116"/>
      <c r="CY1359" s="117"/>
      <c r="CZ1359" s="116"/>
      <c r="DA1359" s="113"/>
      <c r="DB1359" s="114"/>
      <c r="DC1359" s="64"/>
      <c r="DD1359" s="118"/>
    </row>
    <row r="1360" spans="1:108" s="119" customFormat="1" outlineLevel="2">
      <c r="A1360" s="178">
        <v>40483</v>
      </c>
      <c r="B1360" s="164" t="s">
        <v>582</v>
      </c>
      <c r="C1360" s="164" t="s">
        <v>194</v>
      </c>
      <c r="D1360" s="166" t="s">
        <v>1262</v>
      </c>
      <c r="E1360" s="163"/>
      <c r="F1360" s="105"/>
      <c r="G1360" s="105"/>
      <c r="H1360" s="105">
        <f>85*5</f>
        <v>425</v>
      </c>
      <c r="I1360" s="105">
        <v>85</v>
      </c>
      <c r="J1360" s="105"/>
      <c r="K1360" s="105">
        <v>10</v>
      </c>
      <c r="L1360" s="105">
        <v>2</v>
      </c>
      <c r="M1360" s="105"/>
      <c r="N1360" s="105"/>
      <c r="O1360" s="105"/>
      <c r="P1360" s="105"/>
      <c r="Q1360" s="105"/>
      <c r="R1360" s="105"/>
      <c r="S1360" s="105"/>
      <c r="T1360" s="106">
        <v>90</v>
      </c>
      <c r="U1360" s="130" t="s">
        <v>414</v>
      </c>
      <c r="V1360" s="1"/>
      <c r="W1360" s="68">
        <f t="shared" si="334"/>
        <v>0</v>
      </c>
      <c r="X1360" s="68">
        <f t="shared" si="335"/>
        <v>0</v>
      </c>
      <c r="Y1360" s="68">
        <f t="shared" si="336"/>
        <v>0</v>
      </c>
      <c r="Z1360" s="68">
        <f t="shared" si="337"/>
        <v>0</v>
      </c>
      <c r="AA1360" s="68"/>
      <c r="AB1360" s="68">
        <v>0</v>
      </c>
      <c r="AC1360" s="69">
        <f t="shared" si="338"/>
        <v>0</v>
      </c>
      <c r="AD1360" s="70">
        <v>0</v>
      </c>
      <c r="AE1360" s="63">
        <v>38682</v>
      </c>
      <c r="AF1360" s="72">
        <v>67579</v>
      </c>
      <c r="AG1360" s="63"/>
      <c r="AH1360" s="23"/>
      <c r="AI1360" s="60"/>
      <c r="AJ1360" s="124"/>
      <c r="AK1360" s="121" t="s">
        <v>1960</v>
      </c>
      <c r="AL1360" s="107"/>
      <c r="AM1360" s="108"/>
      <c r="AN1360" s="109"/>
      <c r="AO1360" s="108"/>
      <c r="AP1360" s="108"/>
      <c r="AQ1360" s="108"/>
      <c r="AR1360" s="108"/>
      <c r="AS1360" s="108"/>
      <c r="AT1360" s="108"/>
      <c r="AU1360" s="108"/>
      <c r="AV1360" s="108"/>
      <c r="AW1360" s="108"/>
      <c r="AX1360" s="108"/>
      <c r="AY1360" s="108"/>
      <c r="AZ1360" s="108"/>
      <c r="BA1360" s="108"/>
      <c r="BB1360" s="108"/>
      <c r="BC1360" s="108"/>
      <c r="BD1360" s="108"/>
      <c r="BE1360" s="108"/>
      <c r="BF1360" s="108"/>
      <c r="BG1360" s="108"/>
      <c r="BH1360" s="108"/>
      <c r="BI1360" s="108"/>
      <c r="BJ1360" s="108"/>
      <c r="BK1360" s="108"/>
      <c r="BL1360" s="108"/>
      <c r="BM1360" s="108"/>
      <c r="BN1360" s="108"/>
      <c r="BO1360" s="108"/>
      <c r="BP1360" s="108"/>
      <c r="BQ1360" s="108"/>
      <c r="BR1360" s="108"/>
      <c r="BS1360" s="108"/>
      <c r="BT1360" s="108"/>
      <c r="BU1360" s="108"/>
      <c r="BV1360" s="108"/>
      <c r="BW1360" s="108"/>
      <c r="BX1360" s="108"/>
      <c r="BY1360" s="108"/>
      <c r="BZ1360" s="108"/>
      <c r="CA1360" s="108"/>
      <c r="CB1360" s="108"/>
      <c r="CC1360" s="108"/>
      <c r="CD1360" s="108"/>
      <c r="CE1360" s="108"/>
      <c r="CF1360" s="108"/>
      <c r="CG1360" s="108"/>
      <c r="CH1360" s="108"/>
      <c r="CI1360" s="108"/>
      <c r="CJ1360" s="108"/>
      <c r="CK1360" s="108"/>
      <c r="CL1360" s="108"/>
      <c r="CM1360" s="108"/>
      <c r="CN1360" s="110"/>
      <c r="CO1360" s="111"/>
      <c r="CP1360" s="110"/>
      <c r="CQ1360" s="111"/>
      <c r="CR1360" s="110"/>
      <c r="CS1360" s="111"/>
      <c r="CT1360" s="112">
        <f t="shared" si="339"/>
        <v>0</v>
      </c>
      <c r="CU1360" s="113"/>
      <c r="CV1360" s="114"/>
      <c r="CW1360" s="115"/>
      <c r="CX1360" s="116"/>
      <c r="CY1360" s="117"/>
      <c r="CZ1360" s="116"/>
      <c r="DA1360" s="113"/>
      <c r="DB1360" s="114"/>
      <c r="DC1360" s="64"/>
      <c r="DD1360" s="118"/>
    </row>
    <row r="1361" spans="1:108" s="119" customFormat="1" ht="132" outlineLevel="2">
      <c r="A1361" s="178">
        <v>40486</v>
      </c>
      <c r="B1361" s="164" t="s">
        <v>582</v>
      </c>
      <c r="C1361" s="164" t="s">
        <v>1968</v>
      </c>
      <c r="D1361" s="166" t="s">
        <v>1262</v>
      </c>
      <c r="E1361" s="163"/>
      <c r="F1361" s="105"/>
      <c r="G1361" s="105"/>
      <c r="H1361" s="105">
        <f>250*5</f>
        <v>1250</v>
      </c>
      <c r="I1361" s="105">
        <v>250</v>
      </c>
      <c r="J1361" s="105">
        <v>18</v>
      </c>
      <c r="K1361" s="105">
        <v>196</v>
      </c>
      <c r="L1361" s="105">
        <v>1</v>
      </c>
      <c r="M1361" s="105"/>
      <c r="N1361" s="105"/>
      <c r="O1361" s="105"/>
      <c r="P1361" s="105"/>
      <c r="Q1361" s="105"/>
      <c r="R1361" s="105">
        <v>2</v>
      </c>
      <c r="S1361" s="105"/>
      <c r="T1361" s="106">
        <v>300</v>
      </c>
      <c r="U1361" s="130"/>
      <c r="V1361" s="1"/>
      <c r="W1361" s="68">
        <f t="shared" si="334"/>
        <v>0</v>
      </c>
      <c r="X1361" s="68">
        <f t="shared" si="335"/>
        <v>0</v>
      </c>
      <c r="Y1361" s="68">
        <f t="shared" si="336"/>
        <v>0</v>
      </c>
      <c r="Z1361" s="68">
        <f t="shared" si="337"/>
        <v>0</v>
      </c>
      <c r="AA1361" s="68"/>
      <c r="AB1361" s="68">
        <v>0</v>
      </c>
      <c r="AC1361" s="69">
        <f t="shared" si="338"/>
        <v>0</v>
      </c>
      <c r="AD1361" s="70">
        <v>0</v>
      </c>
      <c r="AE1361" s="63">
        <v>40492</v>
      </c>
      <c r="AF1361" s="72"/>
      <c r="AG1361" s="63" t="s">
        <v>938</v>
      </c>
      <c r="AH1361" s="23" t="s">
        <v>939</v>
      </c>
      <c r="AI1361" s="60"/>
      <c r="AJ1361" s="124"/>
      <c r="AK1361" s="121" t="s">
        <v>2003</v>
      </c>
      <c r="AL1361" s="107"/>
      <c r="AM1361" s="108"/>
      <c r="AN1361" s="109"/>
      <c r="AO1361" s="108"/>
      <c r="AP1361" s="108"/>
      <c r="AQ1361" s="108"/>
      <c r="AR1361" s="108"/>
      <c r="AS1361" s="108"/>
      <c r="AT1361" s="108"/>
      <c r="AU1361" s="108"/>
      <c r="AV1361" s="108"/>
      <c r="AW1361" s="108"/>
      <c r="AX1361" s="108"/>
      <c r="AY1361" s="108"/>
      <c r="AZ1361" s="108"/>
      <c r="BA1361" s="108"/>
      <c r="BB1361" s="108"/>
      <c r="BC1361" s="108"/>
      <c r="BD1361" s="108"/>
      <c r="BE1361" s="108"/>
      <c r="BF1361" s="108"/>
      <c r="BG1361" s="108"/>
      <c r="BH1361" s="108"/>
      <c r="BI1361" s="108"/>
      <c r="BJ1361" s="108"/>
      <c r="BK1361" s="108"/>
      <c r="BL1361" s="108"/>
      <c r="BM1361" s="108"/>
      <c r="BN1361" s="108"/>
      <c r="BO1361" s="108"/>
      <c r="BP1361" s="108"/>
      <c r="BQ1361" s="108"/>
      <c r="BR1361" s="108"/>
      <c r="BS1361" s="108"/>
      <c r="BT1361" s="108"/>
      <c r="BU1361" s="108"/>
      <c r="BV1361" s="108"/>
      <c r="BW1361" s="108"/>
      <c r="BX1361" s="108"/>
      <c r="BY1361" s="108"/>
      <c r="BZ1361" s="108"/>
      <c r="CA1361" s="108"/>
      <c r="CB1361" s="108"/>
      <c r="CC1361" s="108"/>
      <c r="CD1361" s="108"/>
      <c r="CE1361" s="108"/>
      <c r="CF1361" s="108"/>
      <c r="CG1361" s="108"/>
      <c r="CH1361" s="108"/>
      <c r="CI1361" s="108"/>
      <c r="CJ1361" s="108"/>
      <c r="CK1361" s="108"/>
      <c r="CL1361" s="108"/>
      <c r="CM1361" s="108"/>
      <c r="CN1361" s="110"/>
      <c r="CO1361" s="111"/>
      <c r="CP1361" s="110"/>
      <c r="CQ1361" s="111"/>
      <c r="CR1361" s="110"/>
      <c r="CS1361" s="111"/>
      <c r="CT1361" s="112">
        <f t="shared" si="339"/>
        <v>0</v>
      </c>
      <c r="CU1361" s="113"/>
      <c r="CV1361" s="114"/>
      <c r="CW1361" s="115"/>
      <c r="CX1361" s="116"/>
      <c r="CY1361" s="117"/>
      <c r="CZ1361" s="116"/>
      <c r="DA1361" s="113"/>
      <c r="DB1361" s="114"/>
      <c r="DC1361" s="64"/>
      <c r="DD1361" s="118">
        <v>1440</v>
      </c>
    </row>
    <row r="1362" spans="1:108" s="119" customFormat="1" ht="22.5" outlineLevel="2">
      <c r="A1362" s="178">
        <v>40489</v>
      </c>
      <c r="B1362" s="164" t="s">
        <v>582</v>
      </c>
      <c r="C1362" s="164" t="s">
        <v>1766</v>
      </c>
      <c r="D1362" s="165" t="s">
        <v>1182</v>
      </c>
      <c r="E1362" s="163">
        <v>1</v>
      </c>
      <c r="F1362" s="105"/>
      <c r="G1362" s="105"/>
      <c r="H1362" s="105"/>
      <c r="I1362" s="105"/>
      <c r="J1362" s="105"/>
      <c r="K1362" s="105"/>
      <c r="L1362" s="105"/>
      <c r="M1362" s="105"/>
      <c r="N1362" s="105"/>
      <c r="O1362" s="105"/>
      <c r="P1362" s="105"/>
      <c r="Q1362" s="105"/>
      <c r="R1362" s="105"/>
      <c r="S1362" s="105"/>
      <c r="T1362" s="106"/>
      <c r="U1362" s="130"/>
      <c r="V1362" s="1"/>
      <c r="W1362" s="68">
        <f t="shared" si="334"/>
        <v>0</v>
      </c>
      <c r="X1362" s="68">
        <f t="shared" si="335"/>
        <v>0</v>
      </c>
      <c r="Y1362" s="68">
        <f t="shared" si="336"/>
        <v>0</v>
      </c>
      <c r="Z1362" s="68">
        <f t="shared" si="337"/>
        <v>0</v>
      </c>
      <c r="AA1362" s="68"/>
      <c r="AB1362" s="68">
        <v>0</v>
      </c>
      <c r="AC1362" s="69">
        <f t="shared" si="338"/>
        <v>0</v>
      </c>
      <c r="AD1362" s="70">
        <v>0</v>
      </c>
      <c r="AE1362" s="63">
        <v>40491</v>
      </c>
      <c r="AF1362" s="72"/>
      <c r="AG1362" s="63" t="s">
        <v>938</v>
      </c>
      <c r="AH1362" s="23" t="s">
        <v>939</v>
      </c>
      <c r="AI1362" s="60"/>
      <c r="AJ1362" s="124" t="s">
        <v>1608</v>
      </c>
      <c r="AK1362" s="121" t="s">
        <v>1612</v>
      </c>
      <c r="AL1362" s="107"/>
      <c r="AM1362" s="108"/>
      <c r="AN1362" s="109"/>
      <c r="AO1362" s="108"/>
      <c r="AP1362" s="108"/>
      <c r="AQ1362" s="108"/>
      <c r="AR1362" s="108"/>
      <c r="AS1362" s="108"/>
      <c r="AT1362" s="108"/>
      <c r="AU1362" s="108"/>
      <c r="AV1362" s="108"/>
      <c r="AW1362" s="108"/>
      <c r="AX1362" s="108"/>
      <c r="AY1362" s="108"/>
      <c r="AZ1362" s="108"/>
      <c r="BA1362" s="108"/>
      <c r="BB1362" s="108"/>
      <c r="BC1362" s="108"/>
      <c r="BD1362" s="108"/>
      <c r="BE1362" s="108"/>
      <c r="BF1362" s="108"/>
      <c r="BG1362" s="108"/>
      <c r="BH1362" s="108"/>
      <c r="BI1362" s="108"/>
      <c r="BJ1362" s="108"/>
      <c r="BK1362" s="108"/>
      <c r="BL1362" s="108"/>
      <c r="BM1362" s="108"/>
      <c r="BN1362" s="108"/>
      <c r="BO1362" s="108"/>
      <c r="BP1362" s="108"/>
      <c r="BQ1362" s="108"/>
      <c r="BR1362" s="108"/>
      <c r="BS1362" s="108"/>
      <c r="BT1362" s="108"/>
      <c r="BU1362" s="108"/>
      <c r="BV1362" s="108"/>
      <c r="BW1362" s="108"/>
      <c r="BX1362" s="108"/>
      <c r="BY1362" s="108"/>
      <c r="BZ1362" s="108"/>
      <c r="CA1362" s="108"/>
      <c r="CB1362" s="108"/>
      <c r="CC1362" s="108"/>
      <c r="CD1362" s="108"/>
      <c r="CE1362" s="108"/>
      <c r="CF1362" s="108"/>
      <c r="CG1362" s="108"/>
      <c r="CH1362" s="108"/>
      <c r="CI1362" s="108"/>
      <c r="CJ1362" s="108"/>
      <c r="CK1362" s="108"/>
      <c r="CL1362" s="108"/>
      <c r="CM1362" s="108"/>
      <c r="CN1362" s="110"/>
      <c r="CO1362" s="111"/>
      <c r="CP1362" s="110"/>
      <c r="CQ1362" s="111"/>
      <c r="CR1362" s="110"/>
      <c r="CS1362" s="111"/>
      <c r="CT1362" s="112">
        <f t="shared" si="339"/>
        <v>0</v>
      </c>
      <c r="CU1362" s="113"/>
      <c r="CV1362" s="114"/>
      <c r="CW1362" s="115"/>
      <c r="CX1362" s="116"/>
      <c r="CY1362" s="117"/>
      <c r="CZ1362" s="116"/>
      <c r="DA1362" s="113"/>
      <c r="DB1362" s="114"/>
      <c r="DC1362" s="64"/>
      <c r="DD1362" s="118"/>
    </row>
    <row r="1363" spans="1:108" s="119" customFormat="1" outlineLevel="2">
      <c r="A1363" s="178">
        <v>40489</v>
      </c>
      <c r="B1363" s="164" t="s">
        <v>582</v>
      </c>
      <c r="C1363" s="164" t="s">
        <v>960</v>
      </c>
      <c r="D1363" s="165" t="s">
        <v>1182</v>
      </c>
      <c r="E1363" s="163"/>
      <c r="F1363" s="105"/>
      <c r="G1363" s="105"/>
      <c r="H1363" s="105"/>
      <c r="I1363" s="105"/>
      <c r="J1363" s="105"/>
      <c r="K1363" s="105"/>
      <c r="L1363" s="105">
        <v>1</v>
      </c>
      <c r="M1363" s="105"/>
      <c r="N1363" s="105"/>
      <c r="O1363" s="105"/>
      <c r="P1363" s="105"/>
      <c r="Q1363" s="105"/>
      <c r="R1363" s="105"/>
      <c r="S1363" s="105"/>
      <c r="T1363" s="106"/>
      <c r="U1363" s="130"/>
      <c r="V1363" s="1"/>
      <c r="W1363" s="68">
        <f t="shared" si="334"/>
        <v>0</v>
      </c>
      <c r="X1363" s="68">
        <f t="shared" si="335"/>
        <v>0</v>
      </c>
      <c r="Y1363" s="68">
        <f t="shared" si="336"/>
        <v>0</v>
      </c>
      <c r="Z1363" s="68">
        <f t="shared" si="337"/>
        <v>0</v>
      </c>
      <c r="AA1363" s="68"/>
      <c r="AB1363" s="68">
        <v>0</v>
      </c>
      <c r="AC1363" s="69">
        <f t="shared" si="338"/>
        <v>0</v>
      </c>
      <c r="AD1363" s="70">
        <v>0</v>
      </c>
      <c r="AE1363" s="63">
        <v>40491</v>
      </c>
      <c r="AF1363" s="72"/>
      <c r="AG1363" s="63" t="s">
        <v>938</v>
      </c>
      <c r="AH1363" s="23" t="s">
        <v>939</v>
      </c>
      <c r="AI1363" s="60"/>
      <c r="AJ1363" s="124" t="s">
        <v>1608</v>
      </c>
      <c r="AK1363" s="121" t="s">
        <v>483</v>
      </c>
      <c r="AL1363" s="107"/>
      <c r="AM1363" s="108"/>
      <c r="AN1363" s="109"/>
      <c r="AO1363" s="108"/>
      <c r="AP1363" s="108"/>
      <c r="AQ1363" s="108"/>
      <c r="AR1363" s="108"/>
      <c r="AS1363" s="108"/>
      <c r="AT1363" s="108"/>
      <c r="AU1363" s="108"/>
      <c r="AV1363" s="108"/>
      <c r="AW1363" s="108"/>
      <c r="AX1363" s="108"/>
      <c r="AY1363" s="108"/>
      <c r="AZ1363" s="108"/>
      <c r="BA1363" s="108"/>
      <c r="BB1363" s="108"/>
      <c r="BC1363" s="108"/>
      <c r="BD1363" s="108"/>
      <c r="BE1363" s="108"/>
      <c r="BF1363" s="108"/>
      <c r="BG1363" s="108"/>
      <c r="BH1363" s="108"/>
      <c r="BI1363" s="108"/>
      <c r="BJ1363" s="108"/>
      <c r="BK1363" s="108"/>
      <c r="BL1363" s="108"/>
      <c r="BM1363" s="108"/>
      <c r="BN1363" s="108"/>
      <c r="BO1363" s="108"/>
      <c r="BP1363" s="108"/>
      <c r="BQ1363" s="108"/>
      <c r="BR1363" s="108"/>
      <c r="BS1363" s="108"/>
      <c r="BT1363" s="108"/>
      <c r="BU1363" s="108"/>
      <c r="BV1363" s="108"/>
      <c r="BW1363" s="108"/>
      <c r="BX1363" s="108"/>
      <c r="BY1363" s="108"/>
      <c r="BZ1363" s="108"/>
      <c r="CA1363" s="108"/>
      <c r="CB1363" s="108"/>
      <c r="CC1363" s="108"/>
      <c r="CD1363" s="108"/>
      <c r="CE1363" s="108"/>
      <c r="CF1363" s="108"/>
      <c r="CG1363" s="108"/>
      <c r="CH1363" s="108"/>
      <c r="CI1363" s="108"/>
      <c r="CJ1363" s="108"/>
      <c r="CK1363" s="108"/>
      <c r="CL1363" s="108"/>
      <c r="CM1363" s="108"/>
      <c r="CN1363" s="110"/>
      <c r="CO1363" s="111"/>
      <c r="CP1363" s="110"/>
      <c r="CQ1363" s="111"/>
      <c r="CR1363" s="110"/>
      <c r="CS1363" s="111"/>
      <c r="CT1363" s="112">
        <f t="shared" si="339"/>
        <v>0</v>
      </c>
      <c r="CU1363" s="113"/>
      <c r="CV1363" s="114"/>
      <c r="CW1363" s="115"/>
      <c r="CX1363" s="116"/>
      <c r="CY1363" s="117"/>
      <c r="CZ1363" s="116"/>
      <c r="DA1363" s="113"/>
      <c r="DB1363" s="114"/>
      <c r="DC1363" s="64"/>
      <c r="DD1363" s="118"/>
    </row>
    <row r="1364" spans="1:108" s="119" customFormat="1" ht="22.5" outlineLevel="2">
      <c r="A1364" s="178">
        <v>40489</v>
      </c>
      <c r="B1364" s="164" t="s">
        <v>582</v>
      </c>
      <c r="C1364" s="164" t="s">
        <v>1712</v>
      </c>
      <c r="D1364" s="165" t="s">
        <v>1182</v>
      </c>
      <c r="E1364" s="163"/>
      <c r="F1364" s="105"/>
      <c r="G1364" s="105"/>
      <c r="H1364" s="105"/>
      <c r="I1364" s="105"/>
      <c r="J1364" s="105"/>
      <c r="K1364" s="105"/>
      <c r="L1364" s="105"/>
      <c r="M1364" s="105"/>
      <c r="N1364" s="105"/>
      <c r="O1364" s="105"/>
      <c r="P1364" s="105"/>
      <c r="Q1364" s="105"/>
      <c r="R1364" s="105"/>
      <c r="S1364" s="105"/>
      <c r="T1364" s="106"/>
      <c r="U1364" s="130"/>
      <c r="V1364" s="1"/>
      <c r="W1364" s="68">
        <f t="shared" si="334"/>
        <v>0</v>
      </c>
      <c r="X1364" s="68">
        <f t="shared" si="335"/>
        <v>0</v>
      </c>
      <c r="Y1364" s="68">
        <f t="shared" si="336"/>
        <v>0</v>
      </c>
      <c r="Z1364" s="68">
        <f t="shared" si="337"/>
        <v>0</v>
      </c>
      <c r="AA1364" s="68"/>
      <c r="AB1364" s="68">
        <v>0</v>
      </c>
      <c r="AC1364" s="69">
        <f t="shared" si="338"/>
        <v>0</v>
      </c>
      <c r="AD1364" s="70">
        <v>0</v>
      </c>
      <c r="AE1364" s="63">
        <v>40491</v>
      </c>
      <c r="AF1364" s="72"/>
      <c r="AG1364" s="63" t="s">
        <v>938</v>
      </c>
      <c r="AH1364" s="23" t="s">
        <v>939</v>
      </c>
      <c r="AI1364" s="60"/>
      <c r="AJ1364" s="124" t="s">
        <v>1608</v>
      </c>
      <c r="AK1364" s="121" t="s">
        <v>481</v>
      </c>
      <c r="AL1364" s="107"/>
      <c r="AM1364" s="108"/>
      <c r="AN1364" s="109"/>
      <c r="AO1364" s="108"/>
      <c r="AP1364" s="108"/>
      <c r="AQ1364" s="108"/>
      <c r="AR1364" s="108"/>
      <c r="AS1364" s="108"/>
      <c r="AT1364" s="108"/>
      <c r="AU1364" s="108"/>
      <c r="AV1364" s="108"/>
      <c r="AW1364" s="108"/>
      <c r="AX1364" s="108"/>
      <c r="AY1364" s="108"/>
      <c r="AZ1364" s="108"/>
      <c r="BA1364" s="108"/>
      <c r="BB1364" s="108"/>
      <c r="BC1364" s="108"/>
      <c r="BD1364" s="108"/>
      <c r="BE1364" s="108"/>
      <c r="BF1364" s="108"/>
      <c r="BG1364" s="108"/>
      <c r="BH1364" s="108"/>
      <c r="BI1364" s="108"/>
      <c r="BJ1364" s="108"/>
      <c r="BK1364" s="108"/>
      <c r="BL1364" s="108"/>
      <c r="BM1364" s="108"/>
      <c r="BN1364" s="108"/>
      <c r="BO1364" s="108"/>
      <c r="BP1364" s="108"/>
      <c r="BQ1364" s="108"/>
      <c r="BR1364" s="108"/>
      <c r="BS1364" s="108"/>
      <c r="BT1364" s="108"/>
      <c r="BU1364" s="108"/>
      <c r="BV1364" s="108"/>
      <c r="BW1364" s="108"/>
      <c r="BX1364" s="108"/>
      <c r="BY1364" s="108"/>
      <c r="BZ1364" s="108"/>
      <c r="CA1364" s="108"/>
      <c r="CB1364" s="108"/>
      <c r="CC1364" s="108"/>
      <c r="CD1364" s="108"/>
      <c r="CE1364" s="108"/>
      <c r="CF1364" s="108"/>
      <c r="CG1364" s="108"/>
      <c r="CH1364" s="108"/>
      <c r="CI1364" s="108"/>
      <c r="CJ1364" s="108"/>
      <c r="CK1364" s="108"/>
      <c r="CL1364" s="108"/>
      <c r="CM1364" s="108"/>
      <c r="CN1364" s="110"/>
      <c r="CO1364" s="111"/>
      <c r="CP1364" s="110"/>
      <c r="CQ1364" s="111"/>
      <c r="CR1364" s="110"/>
      <c r="CS1364" s="111"/>
      <c r="CT1364" s="112">
        <f t="shared" si="339"/>
        <v>0</v>
      </c>
      <c r="CU1364" s="113"/>
      <c r="CV1364" s="114"/>
      <c r="CW1364" s="115"/>
      <c r="CX1364" s="116"/>
      <c r="CY1364" s="117"/>
      <c r="CZ1364" s="116"/>
      <c r="DA1364" s="113"/>
      <c r="DB1364" s="114"/>
      <c r="DC1364" s="64"/>
      <c r="DD1364" s="118"/>
    </row>
    <row r="1365" spans="1:108" s="119" customFormat="1" ht="36" outlineLevel="2">
      <c r="A1365" s="178">
        <v>40489</v>
      </c>
      <c r="B1365" s="164" t="s">
        <v>582</v>
      </c>
      <c r="C1365" s="164" t="s">
        <v>1072</v>
      </c>
      <c r="D1365" s="166" t="s">
        <v>1262</v>
      </c>
      <c r="E1365" s="163">
        <v>1</v>
      </c>
      <c r="F1365" s="105"/>
      <c r="G1365" s="105"/>
      <c r="H1365" s="105"/>
      <c r="I1365" s="105"/>
      <c r="J1365" s="105"/>
      <c r="K1365" s="105"/>
      <c r="L1365" s="105"/>
      <c r="M1365" s="105"/>
      <c r="N1365" s="105"/>
      <c r="O1365" s="105"/>
      <c r="P1365" s="105"/>
      <c r="Q1365" s="105"/>
      <c r="R1365" s="105"/>
      <c r="S1365" s="105"/>
      <c r="T1365" s="106"/>
      <c r="U1365" s="130"/>
      <c r="V1365" s="1"/>
      <c r="W1365" s="68">
        <f t="shared" si="334"/>
        <v>0</v>
      </c>
      <c r="X1365" s="68">
        <f t="shared" si="335"/>
        <v>0</v>
      </c>
      <c r="Y1365" s="68">
        <f t="shared" si="336"/>
        <v>0</v>
      </c>
      <c r="Z1365" s="68">
        <f t="shared" si="337"/>
        <v>0</v>
      </c>
      <c r="AA1365" s="68"/>
      <c r="AB1365" s="68">
        <v>0</v>
      </c>
      <c r="AC1365" s="69">
        <f t="shared" si="338"/>
        <v>0</v>
      </c>
      <c r="AD1365" s="70">
        <v>0</v>
      </c>
      <c r="AE1365" s="63">
        <v>40491</v>
      </c>
      <c r="AF1365" s="72"/>
      <c r="AG1365" s="63" t="s">
        <v>938</v>
      </c>
      <c r="AH1365" s="23" t="s">
        <v>939</v>
      </c>
      <c r="AI1365" s="60"/>
      <c r="AJ1365" s="124" t="s">
        <v>1608</v>
      </c>
      <c r="AK1365" s="121" t="s">
        <v>480</v>
      </c>
      <c r="AL1365" s="107"/>
      <c r="AM1365" s="108"/>
      <c r="AN1365" s="109"/>
      <c r="AO1365" s="108"/>
      <c r="AP1365" s="108"/>
      <c r="AQ1365" s="108"/>
      <c r="AR1365" s="108"/>
      <c r="AS1365" s="108"/>
      <c r="AT1365" s="108"/>
      <c r="AU1365" s="108"/>
      <c r="AV1365" s="108"/>
      <c r="AW1365" s="108"/>
      <c r="AX1365" s="108"/>
      <c r="AY1365" s="108"/>
      <c r="AZ1365" s="108"/>
      <c r="BA1365" s="108"/>
      <c r="BB1365" s="108"/>
      <c r="BC1365" s="108"/>
      <c r="BD1365" s="108"/>
      <c r="BE1365" s="108"/>
      <c r="BF1365" s="108"/>
      <c r="BG1365" s="108"/>
      <c r="BH1365" s="108"/>
      <c r="BI1365" s="108"/>
      <c r="BJ1365" s="108"/>
      <c r="BK1365" s="108"/>
      <c r="BL1365" s="108"/>
      <c r="BM1365" s="108"/>
      <c r="BN1365" s="108"/>
      <c r="BO1365" s="108"/>
      <c r="BP1365" s="108"/>
      <c r="BQ1365" s="108"/>
      <c r="BR1365" s="108"/>
      <c r="BS1365" s="108"/>
      <c r="BT1365" s="108"/>
      <c r="BU1365" s="108"/>
      <c r="BV1365" s="108"/>
      <c r="BW1365" s="108"/>
      <c r="BX1365" s="108"/>
      <c r="BY1365" s="108"/>
      <c r="BZ1365" s="108"/>
      <c r="CA1365" s="108"/>
      <c r="CB1365" s="108"/>
      <c r="CC1365" s="108"/>
      <c r="CD1365" s="108"/>
      <c r="CE1365" s="108"/>
      <c r="CF1365" s="108"/>
      <c r="CG1365" s="108"/>
      <c r="CH1365" s="108"/>
      <c r="CI1365" s="108"/>
      <c r="CJ1365" s="108"/>
      <c r="CK1365" s="108"/>
      <c r="CL1365" s="108"/>
      <c r="CM1365" s="108"/>
      <c r="CN1365" s="110"/>
      <c r="CO1365" s="111"/>
      <c r="CP1365" s="110"/>
      <c r="CQ1365" s="111"/>
      <c r="CR1365" s="110"/>
      <c r="CS1365" s="111"/>
      <c r="CT1365" s="112">
        <f t="shared" si="339"/>
        <v>0</v>
      </c>
      <c r="CU1365" s="113"/>
      <c r="CV1365" s="114"/>
      <c r="CW1365" s="115"/>
      <c r="CX1365" s="116"/>
      <c r="CY1365" s="117"/>
      <c r="CZ1365" s="116"/>
      <c r="DA1365" s="113"/>
      <c r="DB1365" s="114"/>
      <c r="DC1365" s="64"/>
      <c r="DD1365" s="118"/>
    </row>
    <row r="1366" spans="1:108" s="119" customFormat="1" ht="24" outlineLevel="2">
      <c r="A1366" s="178">
        <v>40489</v>
      </c>
      <c r="B1366" s="164" t="s">
        <v>582</v>
      </c>
      <c r="C1366" s="164" t="s">
        <v>837</v>
      </c>
      <c r="D1366" s="165" t="s">
        <v>1182</v>
      </c>
      <c r="E1366" s="163"/>
      <c r="F1366" s="105"/>
      <c r="G1366" s="105"/>
      <c r="H1366" s="105"/>
      <c r="I1366" s="105"/>
      <c r="J1366" s="105"/>
      <c r="K1366" s="105"/>
      <c r="L1366" s="105">
        <v>1</v>
      </c>
      <c r="M1366" s="105"/>
      <c r="N1366" s="105"/>
      <c r="O1366" s="105"/>
      <c r="P1366" s="105"/>
      <c r="Q1366" s="105"/>
      <c r="R1366" s="105"/>
      <c r="S1366" s="105"/>
      <c r="T1366" s="106"/>
      <c r="U1366" s="130"/>
      <c r="V1366" s="1"/>
      <c r="W1366" s="68">
        <f t="shared" si="334"/>
        <v>0</v>
      </c>
      <c r="X1366" s="68">
        <f t="shared" si="335"/>
        <v>0</v>
      </c>
      <c r="Y1366" s="68">
        <f t="shared" si="336"/>
        <v>0</v>
      </c>
      <c r="Z1366" s="68">
        <f t="shared" si="337"/>
        <v>0</v>
      </c>
      <c r="AA1366" s="68"/>
      <c r="AB1366" s="68">
        <v>0</v>
      </c>
      <c r="AC1366" s="69">
        <f t="shared" si="338"/>
        <v>0</v>
      </c>
      <c r="AD1366" s="70">
        <v>0</v>
      </c>
      <c r="AE1366" s="63">
        <v>40491</v>
      </c>
      <c r="AF1366" s="72"/>
      <c r="AG1366" s="63" t="s">
        <v>938</v>
      </c>
      <c r="AH1366" s="23" t="s">
        <v>939</v>
      </c>
      <c r="AI1366" s="60"/>
      <c r="AJ1366" s="124" t="s">
        <v>1608</v>
      </c>
      <c r="AK1366" s="121" t="s">
        <v>486</v>
      </c>
      <c r="AL1366" s="107"/>
      <c r="AM1366" s="108"/>
      <c r="AN1366" s="109"/>
      <c r="AO1366" s="108"/>
      <c r="AP1366" s="108"/>
      <c r="AQ1366" s="108"/>
      <c r="AR1366" s="108"/>
      <c r="AS1366" s="108"/>
      <c r="AT1366" s="108"/>
      <c r="AU1366" s="108"/>
      <c r="AV1366" s="108"/>
      <c r="AW1366" s="108"/>
      <c r="AX1366" s="108"/>
      <c r="AY1366" s="108"/>
      <c r="AZ1366" s="108"/>
      <c r="BA1366" s="108"/>
      <c r="BB1366" s="108"/>
      <c r="BC1366" s="108"/>
      <c r="BD1366" s="108"/>
      <c r="BE1366" s="108"/>
      <c r="BF1366" s="108"/>
      <c r="BG1366" s="108"/>
      <c r="BH1366" s="108"/>
      <c r="BI1366" s="108"/>
      <c r="BJ1366" s="108"/>
      <c r="BK1366" s="108"/>
      <c r="BL1366" s="108"/>
      <c r="BM1366" s="108"/>
      <c r="BN1366" s="108"/>
      <c r="BO1366" s="108"/>
      <c r="BP1366" s="108"/>
      <c r="BQ1366" s="108"/>
      <c r="BR1366" s="108"/>
      <c r="BS1366" s="108"/>
      <c r="BT1366" s="108"/>
      <c r="BU1366" s="108"/>
      <c r="BV1366" s="108"/>
      <c r="BW1366" s="108"/>
      <c r="BX1366" s="108"/>
      <c r="BY1366" s="108"/>
      <c r="BZ1366" s="108"/>
      <c r="CA1366" s="108"/>
      <c r="CB1366" s="108"/>
      <c r="CC1366" s="108"/>
      <c r="CD1366" s="108"/>
      <c r="CE1366" s="108"/>
      <c r="CF1366" s="108"/>
      <c r="CG1366" s="108"/>
      <c r="CH1366" s="108"/>
      <c r="CI1366" s="108"/>
      <c r="CJ1366" s="108"/>
      <c r="CK1366" s="108"/>
      <c r="CL1366" s="108"/>
      <c r="CM1366" s="108"/>
      <c r="CN1366" s="110"/>
      <c r="CO1366" s="111"/>
      <c r="CP1366" s="110"/>
      <c r="CQ1366" s="111"/>
      <c r="CR1366" s="110"/>
      <c r="CS1366" s="111"/>
      <c r="CT1366" s="112">
        <f t="shared" si="339"/>
        <v>0</v>
      </c>
      <c r="CU1366" s="113"/>
      <c r="CV1366" s="114"/>
      <c r="CW1366" s="115"/>
      <c r="CX1366" s="116"/>
      <c r="CY1366" s="117"/>
      <c r="CZ1366" s="116"/>
      <c r="DA1366" s="113"/>
      <c r="DB1366" s="114"/>
      <c r="DC1366" s="64"/>
      <c r="DD1366" s="118"/>
    </row>
    <row r="1367" spans="1:108" s="119" customFormat="1" ht="24" outlineLevel="2">
      <c r="A1367" s="178">
        <v>40489</v>
      </c>
      <c r="B1367" s="164" t="s">
        <v>582</v>
      </c>
      <c r="C1367" s="164" t="s">
        <v>484</v>
      </c>
      <c r="D1367" s="165" t="s">
        <v>1182</v>
      </c>
      <c r="E1367" s="163"/>
      <c r="F1367" s="105"/>
      <c r="G1367" s="105"/>
      <c r="H1367" s="105">
        <f>80*5</f>
        <v>400</v>
      </c>
      <c r="I1367" s="105">
        <v>80</v>
      </c>
      <c r="J1367" s="105"/>
      <c r="K1367" s="105">
        <v>2</v>
      </c>
      <c r="L1367" s="105">
        <v>1</v>
      </c>
      <c r="M1367" s="105"/>
      <c r="N1367" s="105"/>
      <c r="O1367" s="105">
        <v>1</v>
      </c>
      <c r="P1367" s="105"/>
      <c r="Q1367" s="105"/>
      <c r="R1367" s="105"/>
      <c r="S1367" s="105"/>
      <c r="T1367" s="106">
        <v>150</v>
      </c>
      <c r="U1367" s="130"/>
      <c r="V1367" s="1"/>
      <c r="W1367" s="68">
        <f t="shared" si="334"/>
        <v>0</v>
      </c>
      <c r="X1367" s="68">
        <f t="shared" si="335"/>
        <v>0</v>
      </c>
      <c r="Y1367" s="68">
        <f t="shared" si="336"/>
        <v>0</v>
      </c>
      <c r="Z1367" s="68">
        <f t="shared" si="337"/>
        <v>0</v>
      </c>
      <c r="AA1367" s="68"/>
      <c r="AB1367" s="68">
        <v>0</v>
      </c>
      <c r="AC1367" s="69">
        <f t="shared" si="338"/>
        <v>0</v>
      </c>
      <c r="AD1367" s="70">
        <v>0</v>
      </c>
      <c r="AE1367" s="63">
        <v>40491</v>
      </c>
      <c r="AF1367" s="72"/>
      <c r="AG1367" s="63" t="s">
        <v>938</v>
      </c>
      <c r="AH1367" s="23" t="s">
        <v>939</v>
      </c>
      <c r="AI1367" s="60"/>
      <c r="AJ1367" s="124" t="s">
        <v>1608</v>
      </c>
      <c r="AK1367" s="121" t="s">
        <v>485</v>
      </c>
      <c r="AL1367" s="107"/>
      <c r="AM1367" s="108"/>
      <c r="AN1367" s="109"/>
      <c r="AO1367" s="108"/>
      <c r="AP1367" s="108"/>
      <c r="AQ1367" s="108"/>
      <c r="AR1367" s="108"/>
      <c r="AS1367" s="108"/>
      <c r="AT1367" s="108"/>
      <c r="AU1367" s="108"/>
      <c r="AV1367" s="108"/>
      <c r="AW1367" s="108"/>
      <c r="AX1367" s="108"/>
      <c r="AY1367" s="108"/>
      <c r="AZ1367" s="108"/>
      <c r="BA1367" s="108"/>
      <c r="BB1367" s="108"/>
      <c r="BC1367" s="108"/>
      <c r="BD1367" s="108"/>
      <c r="BE1367" s="108"/>
      <c r="BF1367" s="108"/>
      <c r="BG1367" s="108"/>
      <c r="BH1367" s="108"/>
      <c r="BI1367" s="108"/>
      <c r="BJ1367" s="108"/>
      <c r="BK1367" s="108"/>
      <c r="BL1367" s="108"/>
      <c r="BM1367" s="108"/>
      <c r="BN1367" s="108"/>
      <c r="BO1367" s="108"/>
      <c r="BP1367" s="108"/>
      <c r="BQ1367" s="108"/>
      <c r="BR1367" s="108"/>
      <c r="BS1367" s="108"/>
      <c r="BT1367" s="108"/>
      <c r="BU1367" s="108"/>
      <c r="BV1367" s="108"/>
      <c r="BW1367" s="108"/>
      <c r="BX1367" s="108"/>
      <c r="BY1367" s="108"/>
      <c r="BZ1367" s="108"/>
      <c r="CA1367" s="108"/>
      <c r="CB1367" s="108"/>
      <c r="CC1367" s="108"/>
      <c r="CD1367" s="108"/>
      <c r="CE1367" s="108"/>
      <c r="CF1367" s="108"/>
      <c r="CG1367" s="108"/>
      <c r="CH1367" s="108"/>
      <c r="CI1367" s="108"/>
      <c r="CJ1367" s="108"/>
      <c r="CK1367" s="108"/>
      <c r="CL1367" s="108"/>
      <c r="CM1367" s="108"/>
      <c r="CN1367" s="110"/>
      <c r="CO1367" s="111"/>
      <c r="CP1367" s="110"/>
      <c r="CQ1367" s="111"/>
      <c r="CR1367" s="110"/>
      <c r="CS1367" s="111"/>
      <c r="CT1367" s="112">
        <f t="shared" si="339"/>
        <v>0</v>
      </c>
      <c r="CU1367" s="113"/>
      <c r="CV1367" s="114"/>
      <c r="CW1367" s="115"/>
      <c r="CX1367" s="116"/>
      <c r="CY1367" s="117"/>
      <c r="CZ1367" s="116"/>
      <c r="DA1367" s="113"/>
      <c r="DB1367" s="114"/>
      <c r="DC1367" s="64"/>
      <c r="DD1367" s="118"/>
    </row>
    <row r="1368" spans="1:108" s="119" customFormat="1" ht="108" outlineLevel="2">
      <c r="A1368" s="178">
        <v>40491</v>
      </c>
      <c r="B1368" s="164" t="s">
        <v>582</v>
      </c>
      <c r="C1368" s="164" t="s">
        <v>1766</v>
      </c>
      <c r="D1368" s="166" t="s">
        <v>1262</v>
      </c>
      <c r="E1368" s="163"/>
      <c r="F1368" s="105"/>
      <c r="G1368" s="105"/>
      <c r="H1368" s="105">
        <f>1514*5</f>
        <v>7570</v>
      </c>
      <c r="I1368" s="105">
        <f>1675-161</f>
        <v>1514</v>
      </c>
      <c r="J1368" s="105">
        <v>12</v>
      </c>
      <c r="K1368" s="105">
        <v>100</v>
      </c>
      <c r="L1368" s="105">
        <v>3</v>
      </c>
      <c r="M1368" s="105"/>
      <c r="N1368" s="105"/>
      <c r="O1368" s="105"/>
      <c r="P1368" s="105"/>
      <c r="Q1368" s="105"/>
      <c r="R1368" s="105"/>
      <c r="S1368" s="105"/>
      <c r="T1368" s="106">
        <v>6000</v>
      </c>
      <c r="U1368" s="130"/>
      <c r="V1368" s="1"/>
      <c r="W1368" s="68">
        <f t="shared" si="334"/>
        <v>0</v>
      </c>
      <c r="X1368" s="68">
        <f t="shared" si="335"/>
        <v>0</v>
      </c>
      <c r="Y1368" s="68">
        <f t="shared" si="336"/>
        <v>0</v>
      </c>
      <c r="Z1368" s="68">
        <f t="shared" si="337"/>
        <v>0</v>
      </c>
      <c r="AA1368" s="68"/>
      <c r="AB1368" s="68">
        <v>0</v>
      </c>
      <c r="AC1368" s="69">
        <f t="shared" si="338"/>
        <v>0</v>
      </c>
      <c r="AD1368" s="70">
        <v>0</v>
      </c>
      <c r="AE1368" s="63">
        <v>40494</v>
      </c>
      <c r="AF1368" s="72"/>
      <c r="AG1368" s="63" t="s">
        <v>938</v>
      </c>
      <c r="AH1368" s="23" t="s">
        <v>939</v>
      </c>
      <c r="AI1368" s="60"/>
      <c r="AJ1368" s="124" t="s">
        <v>1608</v>
      </c>
      <c r="AK1368" s="121" t="s">
        <v>564</v>
      </c>
      <c r="AL1368" s="107"/>
      <c r="AM1368" s="108"/>
      <c r="AN1368" s="109"/>
      <c r="AO1368" s="108"/>
      <c r="AP1368" s="108"/>
      <c r="AQ1368" s="108"/>
      <c r="AR1368" s="108"/>
      <c r="AS1368" s="108"/>
      <c r="AT1368" s="108"/>
      <c r="AU1368" s="108"/>
      <c r="AV1368" s="108"/>
      <c r="AW1368" s="108"/>
      <c r="AX1368" s="108"/>
      <c r="AY1368" s="108"/>
      <c r="AZ1368" s="108"/>
      <c r="BA1368" s="108"/>
      <c r="BB1368" s="108"/>
      <c r="BC1368" s="108"/>
      <c r="BD1368" s="108"/>
      <c r="BE1368" s="108"/>
      <c r="BF1368" s="108"/>
      <c r="BG1368" s="108"/>
      <c r="BH1368" s="108"/>
      <c r="BI1368" s="108"/>
      <c r="BJ1368" s="108"/>
      <c r="BK1368" s="108"/>
      <c r="BL1368" s="108"/>
      <c r="BM1368" s="108"/>
      <c r="BN1368" s="108"/>
      <c r="BO1368" s="108"/>
      <c r="BP1368" s="108"/>
      <c r="BQ1368" s="108"/>
      <c r="BR1368" s="108"/>
      <c r="BS1368" s="108"/>
      <c r="BT1368" s="108"/>
      <c r="BU1368" s="108"/>
      <c r="BV1368" s="108"/>
      <c r="BW1368" s="108"/>
      <c r="BX1368" s="108"/>
      <c r="BY1368" s="108"/>
      <c r="BZ1368" s="108"/>
      <c r="CA1368" s="108"/>
      <c r="CB1368" s="108"/>
      <c r="CC1368" s="108"/>
      <c r="CD1368" s="108"/>
      <c r="CE1368" s="108"/>
      <c r="CF1368" s="108"/>
      <c r="CG1368" s="108"/>
      <c r="CH1368" s="108"/>
      <c r="CI1368" s="108"/>
      <c r="CJ1368" s="108"/>
      <c r="CK1368" s="108"/>
      <c r="CL1368" s="108"/>
      <c r="CM1368" s="108"/>
      <c r="CN1368" s="110"/>
      <c r="CO1368" s="111"/>
      <c r="CP1368" s="110"/>
      <c r="CQ1368" s="111"/>
      <c r="CR1368" s="110"/>
      <c r="CS1368" s="111"/>
      <c r="CT1368" s="112">
        <f t="shared" si="339"/>
        <v>0</v>
      </c>
      <c r="CU1368" s="113"/>
      <c r="CV1368" s="114"/>
      <c r="CW1368" s="115"/>
      <c r="CX1368" s="116"/>
      <c r="CY1368" s="117"/>
      <c r="CZ1368" s="116"/>
      <c r="DA1368" s="113"/>
      <c r="DB1368" s="114"/>
      <c r="DC1368" s="64"/>
      <c r="DD1368" s="118"/>
    </row>
    <row r="1369" spans="1:108" s="119" customFormat="1" ht="22.5" outlineLevel="2">
      <c r="A1369" s="178">
        <v>40497</v>
      </c>
      <c r="B1369" s="164" t="s">
        <v>582</v>
      </c>
      <c r="C1369" s="164" t="s">
        <v>953</v>
      </c>
      <c r="D1369" s="166" t="s">
        <v>1262</v>
      </c>
      <c r="E1369" s="163"/>
      <c r="F1369" s="105"/>
      <c r="G1369" s="105"/>
      <c r="H1369" s="105"/>
      <c r="I1369" s="105"/>
      <c r="J1369" s="105"/>
      <c r="K1369" s="105"/>
      <c r="L1369" s="105"/>
      <c r="M1369" s="105"/>
      <c r="N1369" s="105"/>
      <c r="O1369" s="105"/>
      <c r="P1369" s="105"/>
      <c r="Q1369" s="105"/>
      <c r="R1369" s="105"/>
      <c r="S1369" s="105"/>
      <c r="T1369" s="106"/>
      <c r="U1369" s="130"/>
      <c r="V1369" s="1"/>
      <c r="W1369" s="68">
        <f t="shared" si="334"/>
        <v>0</v>
      </c>
      <c r="X1369" s="68">
        <f t="shared" si="335"/>
        <v>0</v>
      </c>
      <c r="Y1369" s="68">
        <f t="shared" si="336"/>
        <v>0</v>
      </c>
      <c r="Z1369" s="68">
        <f t="shared" si="337"/>
        <v>0</v>
      </c>
      <c r="AA1369" s="68"/>
      <c r="AB1369" s="68">
        <v>0</v>
      </c>
      <c r="AC1369" s="69">
        <f t="shared" si="338"/>
        <v>0</v>
      </c>
      <c r="AD1369" s="70">
        <v>80500000</v>
      </c>
      <c r="AE1369" s="63">
        <v>40500</v>
      </c>
      <c r="AF1369" s="72"/>
      <c r="AG1369" s="63" t="s">
        <v>954</v>
      </c>
      <c r="AH1369" s="23" t="s">
        <v>955</v>
      </c>
      <c r="AI1369" s="60"/>
      <c r="AJ1369" s="124" t="s">
        <v>1476</v>
      </c>
      <c r="AK1369" s="121" t="s">
        <v>681</v>
      </c>
      <c r="AL1369" s="107"/>
      <c r="AM1369" s="108"/>
      <c r="AN1369" s="109"/>
      <c r="AO1369" s="108"/>
      <c r="AP1369" s="108"/>
      <c r="AQ1369" s="108"/>
      <c r="AR1369" s="108"/>
      <c r="AS1369" s="108"/>
      <c r="AT1369" s="108"/>
      <c r="AU1369" s="108"/>
      <c r="AV1369" s="108"/>
      <c r="AW1369" s="108"/>
      <c r="AX1369" s="108"/>
      <c r="AY1369" s="108"/>
      <c r="AZ1369" s="108"/>
      <c r="BA1369" s="108"/>
      <c r="BB1369" s="108"/>
      <c r="BC1369" s="108"/>
      <c r="BD1369" s="108"/>
      <c r="BE1369" s="108"/>
      <c r="BF1369" s="108"/>
      <c r="BG1369" s="108"/>
      <c r="BH1369" s="108"/>
      <c r="BI1369" s="108"/>
      <c r="BJ1369" s="108"/>
      <c r="BK1369" s="108"/>
      <c r="BL1369" s="108"/>
      <c r="BM1369" s="108"/>
      <c r="BN1369" s="108"/>
      <c r="BO1369" s="108"/>
      <c r="BP1369" s="108"/>
      <c r="BQ1369" s="108"/>
      <c r="BR1369" s="108"/>
      <c r="BS1369" s="108"/>
      <c r="BT1369" s="108"/>
      <c r="BU1369" s="108"/>
      <c r="BV1369" s="108"/>
      <c r="BW1369" s="108"/>
      <c r="BX1369" s="108"/>
      <c r="BY1369" s="108"/>
      <c r="BZ1369" s="108"/>
      <c r="CA1369" s="108"/>
      <c r="CB1369" s="108"/>
      <c r="CC1369" s="108"/>
      <c r="CD1369" s="108"/>
      <c r="CE1369" s="108"/>
      <c r="CF1369" s="108"/>
      <c r="CG1369" s="108"/>
      <c r="CH1369" s="108"/>
      <c r="CI1369" s="108"/>
      <c r="CJ1369" s="108"/>
      <c r="CK1369" s="108"/>
      <c r="CL1369" s="108"/>
      <c r="CM1369" s="108"/>
      <c r="CN1369" s="110"/>
      <c r="CO1369" s="111"/>
      <c r="CP1369" s="110"/>
      <c r="CQ1369" s="111"/>
      <c r="CR1369" s="110"/>
      <c r="CS1369" s="111"/>
      <c r="CT1369" s="112">
        <f t="shared" si="339"/>
        <v>0</v>
      </c>
      <c r="CU1369" s="113"/>
      <c r="CV1369" s="114"/>
      <c r="CW1369" s="115"/>
      <c r="CX1369" s="116"/>
      <c r="CY1369" s="117"/>
      <c r="CZ1369" s="116"/>
      <c r="DA1369" s="113"/>
      <c r="DB1369" s="114"/>
      <c r="DC1369" s="64"/>
      <c r="DD1369" s="118"/>
    </row>
    <row r="1370" spans="1:108" s="119" customFormat="1" ht="36" outlineLevel="2">
      <c r="A1370" s="178">
        <v>40497</v>
      </c>
      <c r="B1370" s="164" t="s">
        <v>582</v>
      </c>
      <c r="C1370" s="164" t="s">
        <v>1154</v>
      </c>
      <c r="D1370" s="166" t="s">
        <v>1262</v>
      </c>
      <c r="E1370" s="163"/>
      <c r="F1370" s="105"/>
      <c r="G1370" s="105"/>
      <c r="H1370" s="105">
        <v>75</v>
      </c>
      <c r="I1370" s="105">
        <v>15</v>
      </c>
      <c r="J1370" s="105"/>
      <c r="K1370" s="105"/>
      <c r="L1370" s="105">
        <v>2</v>
      </c>
      <c r="M1370" s="105"/>
      <c r="N1370" s="105"/>
      <c r="O1370" s="105"/>
      <c r="P1370" s="105"/>
      <c r="Q1370" s="105"/>
      <c r="R1370" s="105"/>
      <c r="S1370" s="105"/>
      <c r="T1370" s="106">
        <v>200</v>
      </c>
      <c r="U1370" s="130"/>
      <c r="V1370" s="1"/>
      <c r="W1370" s="68">
        <f t="shared" si="334"/>
        <v>0</v>
      </c>
      <c r="X1370" s="68">
        <f t="shared" si="335"/>
        <v>0</v>
      </c>
      <c r="Y1370" s="68">
        <f t="shared" si="336"/>
        <v>0</v>
      </c>
      <c r="Z1370" s="68">
        <f t="shared" si="337"/>
        <v>0</v>
      </c>
      <c r="AA1370" s="68"/>
      <c r="AB1370" s="68">
        <v>0</v>
      </c>
      <c r="AC1370" s="69">
        <f t="shared" si="338"/>
        <v>0</v>
      </c>
      <c r="AD1370" s="70">
        <v>0</v>
      </c>
      <c r="AE1370" s="63">
        <v>40497</v>
      </c>
      <c r="AF1370" s="72"/>
      <c r="AG1370" s="63" t="s">
        <v>938</v>
      </c>
      <c r="AH1370" s="23" t="s">
        <v>939</v>
      </c>
      <c r="AI1370" s="60"/>
      <c r="AJ1370" s="124" t="s">
        <v>1608</v>
      </c>
      <c r="AK1370" s="121" t="s">
        <v>82</v>
      </c>
      <c r="AL1370" s="107"/>
      <c r="AM1370" s="108"/>
      <c r="AN1370" s="109"/>
      <c r="AO1370" s="108"/>
      <c r="AP1370" s="108"/>
      <c r="AQ1370" s="108"/>
      <c r="AR1370" s="108"/>
      <c r="AS1370" s="108"/>
      <c r="AT1370" s="108"/>
      <c r="AU1370" s="108"/>
      <c r="AV1370" s="108"/>
      <c r="AW1370" s="108"/>
      <c r="AX1370" s="108"/>
      <c r="AY1370" s="108"/>
      <c r="AZ1370" s="108"/>
      <c r="BA1370" s="108"/>
      <c r="BB1370" s="108"/>
      <c r="BC1370" s="108"/>
      <c r="BD1370" s="108"/>
      <c r="BE1370" s="108"/>
      <c r="BF1370" s="108"/>
      <c r="BG1370" s="108"/>
      <c r="BH1370" s="108"/>
      <c r="BI1370" s="108"/>
      <c r="BJ1370" s="108"/>
      <c r="BK1370" s="108"/>
      <c r="BL1370" s="108"/>
      <c r="BM1370" s="108"/>
      <c r="BN1370" s="108"/>
      <c r="BO1370" s="108"/>
      <c r="BP1370" s="108"/>
      <c r="BQ1370" s="108"/>
      <c r="BR1370" s="108"/>
      <c r="BS1370" s="108"/>
      <c r="BT1370" s="108"/>
      <c r="BU1370" s="108"/>
      <c r="BV1370" s="108"/>
      <c r="BW1370" s="108"/>
      <c r="BX1370" s="108"/>
      <c r="BY1370" s="108"/>
      <c r="BZ1370" s="108"/>
      <c r="CA1370" s="108"/>
      <c r="CB1370" s="108"/>
      <c r="CC1370" s="108"/>
      <c r="CD1370" s="108"/>
      <c r="CE1370" s="108"/>
      <c r="CF1370" s="108"/>
      <c r="CG1370" s="108"/>
      <c r="CH1370" s="108"/>
      <c r="CI1370" s="108"/>
      <c r="CJ1370" s="108"/>
      <c r="CK1370" s="108"/>
      <c r="CL1370" s="108"/>
      <c r="CM1370" s="108"/>
      <c r="CN1370" s="110"/>
      <c r="CO1370" s="111"/>
      <c r="CP1370" s="110"/>
      <c r="CQ1370" s="111"/>
      <c r="CR1370" s="110"/>
      <c r="CS1370" s="111"/>
      <c r="CT1370" s="112">
        <f t="shared" si="339"/>
        <v>0</v>
      </c>
      <c r="CU1370" s="113"/>
      <c r="CV1370" s="114"/>
      <c r="CW1370" s="115"/>
      <c r="CX1370" s="116"/>
      <c r="CY1370" s="117"/>
      <c r="CZ1370" s="116"/>
      <c r="DA1370" s="113"/>
      <c r="DB1370" s="114"/>
      <c r="DC1370" s="64"/>
      <c r="DD1370" s="118"/>
    </row>
    <row r="1371" spans="1:108" s="119" customFormat="1" ht="24" outlineLevel="2">
      <c r="A1371" s="178">
        <v>40497</v>
      </c>
      <c r="B1371" s="164" t="s">
        <v>582</v>
      </c>
      <c r="C1371" s="164" t="s">
        <v>834</v>
      </c>
      <c r="D1371" s="166" t="s">
        <v>1262</v>
      </c>
      <c r="E1371" s="163"/>
      <c r="F1371" s="105"/>
      <c r="G1371" s="105"/>
      <c r="H1371" s="105">
        <v>15</v>
      </c>
      <c r="I1371" s="105">
        <v>3</v>
      </c>
      <c r="J1371" s="105"/>
      <c r="K1371" s="105"/>
      <c r="L1371" s="105"/>
      <c r="M1371" s="105"/>
      <c r="N1371" s="105"/>
      <c r="O1371" s="105"/>
      <c r="P1371" s="105"/>
      <c r="Q1371" s="105"/>
      <c r="R1371" s="105"/>
      <c r="S1371" s="105"/>
      <c r="T1371" s="106"/>
      <c r="U1371" s="130"/>
      <c r="V1371" s="1"/>
      <c r="W1371" s="68">
        <f t="shared" si="334"/>
        <v>0</v>
      </c>
      <c r="X1371" s="68">
        <f t="shared" si="335"/>
        <v>0</v>
      </c>
      <c r="Y1371" s="68">
        <f t="shared" si="336"/>
        <v>0</v>
      </c>
      <c r="Z1371" s="68">
        <f t="shared" si="337"/>
        <v>0</v>
      </c>
      <c r="AA1371" s="68"/>
      <c r="AB1371" s="68">
        <v>0</v>
      </c>
      <c r="AC1371" s="69">
        <f t="shared" si="338"/>
        <v>0</v>
      </c>
      <c r="AD1371" s="70">
        <v>0</v>
      </c>
      <c r="AE1371" s="63">
        <v>40498</v>
      </c>
      <c r="AF1371" s="72"/>
      <c r="AG1371" s="63" t="s">
        <v>938</v>
      </c>
      <c r="AH1371" s="23" t="s">
        <v>939</v>
      </c>
      <c r="AI1371" s="60"/>
      <c r="AJ1371" s="124" t="s">
        <v>52</v>
      </c>
      <c r="AK1371" s="121" t="s">
        <v>60</v>
      </c>
      <c r="AL1371" s="107"/>
      <c r="AM1371" s="108"/>
      <c r="AN1371" s="109"/>
      <c r="AO1371" s="108"/>
      <c r="AP1371" s="108"/>
      <c r="AQ1371" s="108"/>
      <c r="AR1371" s="108"/>
      <c r="AS1371" s="108"/>
      <c r="AT1371" s="108"/>
      <c r="AU1371" s="108"/>
      <c r="AV1371" s="108"/>
      <c r="AW1371" s="108"/>
      <c r="AX1371" s="108"/>
      <c r="AY1371" s="108"/>
      <c r="AZ1371" s="108"/>
      <c r="BA1371" s="108"/>
      <c r="BB1371" s="108"/>
      <c r="BC1371" s="108"/>
      <c r="BD1371" s="108"/>
      <c r="BE1371" s="108"/>
      <c r="BF1371" s="108"/>
      <c r="BG1371" s="108"/>
      <c r="BH1371" s="108"/>
      <c r="BI1371" s="108"/>
      <c r="BJ1371" s="108"/>
      <c r="BK1371" s="108"/>
      <c r="BL1371" s="108"/>
      <c r="BM1371" s="108"/>
      <c r="BN1371" s="108"/>
      <c r="BO1371" s="108"/>
      <c r="BP1371" s="108"/>
      <c r="BQ1371" s="108"/>
      <c r="BR1371" s="108"/>
      <c r="BS1371" s="108"/>
      <c r="BT1371" s="108"/>
      <c r="BU1371" s="108"/>
      <c r="BV1371" s="108"/>
      <c r="BW1371" s="108"/>
      <c r="BX1371" s="108"/>
      <c r="BY1371" s="108"/>
      <c r="BZ1371" s="108"/>
      <c r="CA1371" s="108"/>
      <c r="CB1371" s="108"/>
      <c r="CC1371" s="108"/>
      <c r="CD1371" s="108"/>
      <c r="CE1371" s="108"/>
      <c r="CF1371" s="108"/>
      <c r="CG1371" s="108"/>
      <c r="CH1371" s="108"/>
      <c r="CI1371" s="108"/>
      <c r="CJ1371" s="108"/>
      <c r="CK1371" s="108"/>
      <c r="CL1371" s="108"/>
      <c r="CM1371" s="108"/>
      <c r="CN1371" s="110"/>
      <c r="CO1371" s="111"/>
      <c r="CP1371" s="110"/>
      <c r="CQ1371" s="111"/>
      <c r="CR1371" s="110"/>
      <c r="CS1371" s="111"/>
      <c r="CT1371" s="112">
        <f t="shared" si="339"/>
        <v>0</v>
      </c>
      <c r="CU1371" s="113"/>
      <c r="CV1371" s="114"/>
      <c r="CW1371" s="115"/>
      <c r="CX1371" s="116"/>
      <c r="CY1371" s="117"/>
      <c r="CZ1371" s="116"/>
      <c r="DA1371" s="113"/>
      <c r="DB1371" s="114"/>
      <c r="DC1371" s="64"/>
      <c r="DD1371" s="118"/>
    </row>
    <row r="1372" spans="1:108" s="119" customFormat="1" ht="36" outlineLevel="2">
      <c r="A1372" s="178">
        <v>40499</v>
      </c>
      <c r="B1372" s="164" t="s">
        <v>582</v>
      </c>
      <c r="C1372" s="164" t="s">
        <v>1712</v>
      </c>
      <c r="D1372" s="166" t="s">
        <v>1262</v>
      </c>
      <c r="E1372" s="163"/>
      <c r="F1372" s="105"/>
      <c r="G1372" s="105"/>
      <c r="H1372" s="105">
        <v>5</v>
      </c>
      <c r="I1372" s="105">
        <v>1</v>
      </c>
      <c r="J1372" s="105">
        <v>1</v>
      </c>
      <c r="K1372" s="105"/>
      <c r="L1372" s="105"/>
      <c r="M1372" s="105"/>
      <c r="N1372" s="105"/>
      <c r="O1372" s="105"/>
      <c r="P1372" s="105"/>
      <c r="Q1372" s="105"/>
      <c r="R1372" s="105"/>
      <c r="S1372" s="105"/>
      <c r="T1372" s="106"/>
      <c r="U1372" s="130"/>
      <c r="V1372" s="1"/>
      <c r="W1372" s="68">
        <f t="shared" si="334"/>
        <v>0</v>
      </c>
      <c r="X1372" s="68">
        <f t="shared" si="335"/>
        <v>0</v>
      </c>
      <c r="Y1372" s="68">
        <f t="shared" si="336"/>
        <v>0</v>
      </c>
      <c r="Z1372" s="68">
        <f t="shared" si="337"/>
        <v>0</v>
      </c>
      <c r="AA1372" s="68"/>
      <c r="AB1372" s="68">
        <v>0</v>
      </c>
      <c r="AC1372" s="69">
        <f t="shared" si="338"/>
        <v>0</v>
      </c>
      <c r="AD1372" s="70">
        <v>0</v>
      </c>
      <c r="AE1372" s="63">
        <v>40504</v>
      </c>
      <c r="AF1372" s="72"/>
      <c r="AG1372" s="63" t="s">
        <v>938</v>
      </c>
      <c r="AH1372" s="23" t="s">
        <v>939</v>
      </c>
      <c r="AI1372" s="60"/>
      <c r="AJ1372" s="124" t="s">
        <v>1608</v>
      </c>
      <c r="AK1372" s="121" t="s">
        <v>85</v>
      </c>
      <c r="AL1372" s="107"/>
      <c r="AM1372" s="108"/>
      <c r="AN1372" s="109"/>
      <c r="AO1372" s="108"/>
      <c r="AP1372" s="108"/>
      <c r="AQ1372" s="108"/>
      <c r="AR1372" s="108"/>
      <c r="AS1372" s="108"/>
      <c r="AT1372" s="108"/>
      <c r="AU1372" s="108"/>
      <c r="AV1372" s="108"/>
      <c r="AW1372" s="108"/>
      <c r="AX1372" s="108"/>
      <c r="AY1372" s="108"/>
      <c r="AZ1372" s="108"/>
      <c r="BA1372" s="108"/>
      <c r="BB1372" s="108"/>
      <c r="BC1372" s="108"/>
      <c r="BD1372" s="108"/>
      <c r="BE1372" s="108"/>
      <c r="BF1372" s="108"/>
      <c r="BG1372" s="108"/>
      <c r="BH1372" s="108"/>
      <c r="BI1372" s="108"/>
      <c r="BJ1372" s="108"/>
      <c r="BK1372" s="108"/>
      <c r="BL1372" s="108"/>
      <c r="BM1372" s="108"/>
      <c r="BN1372" s="108"/>
      <c r="BO1372" s="108"/>
      <c r="BP1372" s="108"/>
      <c r="BQ1372" s="108"/>
      <c r="BR1372" s="108"/>
      <c r="BS1372" s="108"/>
      <c r="BT1372" s="108"/>
      <c r="BU1372" s="108"/>
      <c r="BV1372" s="108"/>
      <c r="BW1372" s="108"/>
      <c r="BX1372" s="108"/>
      <c r="BY1372" s="108"/>
      <c r="BZ1372" s="108"/>
      <c r="CA1372" s="108"/>
      <c r="CB1372" s="108"/>
      <c r="CC1372" s="108"/>
      <c r="CD1372" s="108"/>
      <c r="CE1372" s="108"/>
      <c r="CF1372" s="108"/>
      <c r="CG1372" s="108"/>
      <c r="CH1372" s="108"/>
      <c r="CI1372" s="108"/>
      <c r="CJ1372" s="108"/>
      <c r="CK1372" s="108"/>
      <c r="CL1372" s="108"/>
      <c r="CM1372" s="108"/>
      <c r="CN1372" s="110"/>
      <c r="CO1372" s="111"/>
      <c r="CP1372" s="110"/>
      <c r="CQ1372" s="111"/>
      <c r="CR1372" s="110"/>
      <c r="CS1372" s="111"/>
      <c r="CT1372" s="112">
        <f t="shared" si="339"/>
        <v>0</v>
      </c>
      <c r="CU1372" s="113"/>
      <c r="CV1372" s="114"/>
      <c r="CW1372" s="115"/>
      <c r="CX1372" s="116"/>
      <c r="CY1372" s="117"/>
      <c r="CZ1372" s="116"/>
      <c r="DA1372" s="113"/>
      <c r="DB1372" s="114"/>
      <c r="DC1372" s="64"/>
      <c r="DD1372" s="118"/>
    </row>
    <row r="1373" spans="1:108" s="119" customFormat="1" ht="48" outlineLevel="2">
      <c r="A1373" s="178">
        <v>40499</v>
      </c>
      <c r="B1373" s="164" t="s">
        <v>582</v>
      </c>
      <c r="C1373" s="164" t="s">
        <v>83</v>
      </c>
      <c r="D1373" s="166" t="s">
        <v>1262</v>
      </c>
      <c r="E1373" s="163"/>
      <c r="F1373" s="105"/>
      <c r="G1373" s="105"/>
      <c r="H1373" s="105">
        <f>60*5</f>
        <v>300</v>
      </c>
      <c r="I1373" s="105">
        <v>60</v>
      </c>
      <c r="J1373" s="105"/>
      <c r="K1373" s="105">
        <v>40</v>
      </c>
      <c r="L1373" s="105">
        <v>2</v>
      </c>
      <c r="M1373" s="105"/>
      <c r="N1373" s="105"/>
      <c r="O1373" s="105"/>
      <c r="P1373" s="105"/>
      <c r="Q1373" s="105"/>
      <c r="R1373" s="105"/>
      <c r="S1373" s="105"/>
      <c r="T1373" s="106">
        <v>600</v>
      </c>
      <c r="U1373" s="130"/>
      <c r="V1373" s="1"/>
      <c r="W1373" s="68">
        <f t="shared" si="334"/>
        <v>0</v>
      </c>
      <c r="X1373" s="68">
        <f t="shared" si="335"/>
        <v>0</v>
      </c>
      <c r="Y1373" s="68">
        <f t="shared" si="336"/>
        <v>0</v>
      </c>
      <c r="Z1373" s="68">
        <f t="shared" si="337"/>
        <v>0</v>
      </c>
      <c r="AA1373" s="68"/>
      <c r="AB1373" s="68">
        <v>0</v>
      </c>
      <c r="AC1373" s="69">
        <f t="shared" si="338"/>
        <v>0</v>
      </c>
      <c r="AD1373" s="70">
        <v>0</v>
      </c>
      <c r="AE1373" s="63">
        <v>40504</v>
      </c>
      <c r="AF1373" s="72"/>
      <c r="AG1373" s="63" t="s">
        <v>938</v>
      </c>
      <c r="AH1373" s="23" t="s">
        <v>939</v>
      </c>
      <c r="AI1373" s="60"/>
      <c r="AJ1373" s="124" t="s">
        <v>1608</v>
      </c>
      <c r="AK1373" s="121" t="s">
        <v>84</v>
      </c>
      <c r="AL1373" s="107"/>
      <c r="AM1373" s="108"/>
      <c r="AN1373" s="109"/>
      <c r="AO1373" s="108"/>
      <c r="AP1373" s="108"/>
      <c r="AQ1373" s="108"/>
      <c r="AR1373" s="108"/>
      <c r="AS1373" s="108"/>
      <c r="AT1373" s="108"/>
      <c r="AU1373" s="108"/>
      <c r="AV1373" s="108"/>
      <c r="AW1373" s="108"/>
      <c r="AX1373" s="108"/>
      <c r="AY1373" s="108"/>
      <c r="AZ1373" s="108"/>
      <c r="BA1373" s="108"/>
      <c r="BB1373" s="108"/>
      <c r="BC1373" s="108"/>
      <c r="BD1373" s="108"/>
      <c r="BE1373" s="108"/>
      <c r="BF1373" s="108"/>
      <c r="BG1373" s="108"/>
      <c r="BH1373" s="108"/>
      <c r="BI1373" s="108"/>
      <c r="BJ1373" s="108"/>
      <c r="BK1373" s="108"/>
      <c r="BL1373" s="108"/>
      <c r="BM1373" s="108"/>
      <c r="BN1373" s="108"/>
      <c r="BO1373" s="108"/>
      <c r="BP1373" s="108"/>
      <c r="BQ1373" s="108"/>
      <c r="BR1373" s="108"/>
      <c r="BS1373" s="108"/>
      <c r="BT1373" s="108"/>
      <c r="BU1373" s="108"/>
      <c r="BV1373" s="108"/>
      <c r="BW1373" s="108"/>
      <c r="BX1373" s="108"/>
      <c r="BY1373" s="108"/>
      <c r="BZ1373" s="108"/>
      <c r="CA1373" s="108"/>
      <c r="CB1373" s="108"/>
      <c r="CC1373" s="108"/>
      <c r="CD1373" s="108"/>
      <c r="CE1373" s="108"/>
      <c r="CF1373" s="108"/>
      <c r="CG1373" s="108"/>
      <c r="CH1373" s="108"/>
      <c r="CI1373" s="108"/>
      <c r="CJ1373" s="108"/>
      <c r="CK1373" s="108"/>
      <c r="CL1373" s="108"/>
      <c r="CM1373" s="108"/>
      <c r="CN1373" s="110"/>
      <c r="CO1373" s="111"/>
      <c r="CP1373" s="110"/>
      <c r="CQ1373" s="111"/>
      <c r="CR1373" s="110"/>
      <c r="CS1373" s="111"/>
      <c r="CT1373" s="112">
        <f t="shared" si="339"/>
        <v>0</v>
      </c>
      <c r="CU1373" s="113"/>
      <c r="CV1373" s="114"/>
      <c r="CW1373" s="115"/>
      <c r="CX1373" s="116"/>
      <c r="CY1373" s="117"/>
      <c r="CZ1373" s="116"/>
      <c r="DA1373" s="113"/>
      <c r="DB1373" s="114"/>
      <c r="DC1373" s="64"/>
      <c r="DD1373" s="118"/>
    </row>
    <row r="1374" spans="1:108" s="119" customFormat="1" ht="24" outlineLevel="2">
      <c r="A1374" s="178">
        <v>40508</v>
      </c>
      <c r="B1374" s="164" t="s">
        <v>582</v>
      </c>
      <c r="C1374" s="164" t="s">
        <v>834</v>
      </c>
      <c r="D1374" s="166" t="s">
        <v>1262</v>
      </c>
      <c r="E1374" s="163"/>
      <c r="F1374" s="105"/>
      <c r="G1374" s="105"/>
      <c r="H1374" s="105">
        <v>250</v>
      </c>
      <c r="I1374" s="105">
        <v>50</v>
      </c>
      <c r="J1374" s="105"/>
      <c r="K1374" s="105"/>
      <c r="L1374" s="105"/>
      <c r="M1374" s="105"/>
      <c r="N1374" s="105"/>
      <c r="O1374" s="105"/>
      <c r="P1374" s="105"/>
      <c r="Q1374" s="105"/>
      <c r="R1374" s="105"/>
      <c r="S1374" s="105"/>
      <c r="T1374" s="106"/>
      <c r="U1374" s="130"/>
      <c r="V1374" s="1"/>
      <c r="W1374" s="68">
        <f t="shared" si="334"/>
        <v>0</v>
      </c>
      <c r="X1374" s="68">
        <f t="shared" si="335"/>
        <v>0</v>
      </c>
      <c r="Y1374" s="68">
        <f t="shared" si="336"/>
        <v>0</v>
      </c>
      <c r="Z1374" s="68">
        <f t="shared" si="337"/>
        <v>0</v>
      </c>
      <c r="AA1374" s="68"/>
      <c r="AB1374" s="68">
        <v>0</v>
      </c>
      <c r="AC1374" s="69">
        <f t="shared" ref="AC1374:AC1377" si="340">W1374+X1374+Y1374+Z1374+AA1374+AB1374</f>
        <v>0</v>
      </c>
      <c r="AD1374" s="70">
        <v>0</v>
      </c>
      <c r="AE1374" s="63">
        <v>40510</v>
      </c>
      <c r="AF1374" s="72"/>
      <c r="AG1374" s="63" t="s">
        <v>938</v>
      </c>
      <c r="AH1374" s="23" t="s">
        <v>939</v>
      </c>
      <c r="AI1374" s="60"/>
      <c r="AJ1374" s="124" t="s">
        <v>1608</v>
      </c>
      <c r="AK1374" s="121" t="s">
        <v>359</v>
      </c>
      <c r="AL1374" s="107"/>
      <c r="AM1374" s="108"/>
      <c r="AN1374" s="109"/>
      <c r="AO1374" s="108"/>
      <c r="AP1374" s="108"/>
      <c r="AQ1374" s="108"/>
      <c r="AR1374" s="108"/>
      <c r="AS1374" s="108"/>
      <c r="AT1374" s="108"/>
      <c r="AU1374" s="108"/>
      <c r="AV1374" s="108"/>
      <c r="AW1374" s="108"/>
      <c r="AX1374" s="108"/>
      <c r="AY1374" s="108"/>
      <c r="AZ1374" s="108"/>
      <c r="BA1374" s="108"/>
      <c r="BB1374" s="108"/>
      <c r="BC1374" s="108"/>
      <c r="BD1374" s="108"/>
      <c r="BE1374" s="108"/>
      <c r="BF1374" s="108"/>
      <c r="BG1374" s="108"/>
      <c r="BH1374" s="108"/>
      <c r="BI1374" s="108"/>
      <c r="BJ1374" s="108"/>
      <c r="BK1374" s="108"/>
      <c r="BL1374" s="108"/>
      <c r="BM1374" s="108"/>
      <c r="BN1374" s="108"/>
      <c r="BO1374" s="108"/>
      <c r="BP1374" s="108"/>
      <c r="BQ1374" s="108"/>
      <c r="BR1374" s="108"/>
      <c r="BS1374" s="108"/>
      <c r="BT1374" s="108"/>
      <c r="BU1374" s="108"/>
      <c r="BV1374" s="108"/>
      <c r="BW1374" s="108"/>
      <c r="BX1374" s="108"/>
      <c r="BY1374" s="108"/>
      <c r="BZ1374" s="108"/>
      <c r="CA1374" s="108"/>
      <c r="CB1374" s="108"/>
      <c r="CC1374" s="108"/>
      <c r="CD1374" s="108"/>
      <c r="CE1374" s="108"/>
      <c r="CF1374" s="108"/>
      <c r="CG1374" s="108"/>
      <c r="CH1374" s="108"/>
      <c r="CI1374" s="108"/>
      <c r="CJ1374" s="108"/>
      <c r="CK1374" s="108"/>
      <c r="CL1374" s="108"/>
      <c r="CM1374" s="108"/>
      <c r="CN1374" s="110"/>
      <c r="CO1374" s="111"/>
      <c r="CP1374" s="110"/>
      <c r="CQ1374" s="111"/>
      <c r="CR1374" s="110"/>
      <c r="CS1374" s="111"/>
      <c r="CT1374" s="112">
        <f t="shared" ref="CT1374:CT1377" si="341">AM1374+AO1374+AQ1374+AS1374+AU1374+AW1374+AY1374+BA1374+BC1374+BE1374+BG1374+BI1374+BK1374+BM1374+BO1374+BQ1374+BS1374+BU1374+BW1374+BY1374+CA1374+CC1374+CE1374+CG1374+CI1374+CK1374+CM1374+CO1374+CQ1374+CS1374</f>
        <v>0</v>
      </c>
      <c r="CU1374" s="113"/>
      <c r="CV1374" s="114"/>
      <c r="CW1374" s="115"/>
      <c r="CX1374" s="116"/>
      <c r="CY1374" s="117"/>
      <c r="CZ1374" s="116"/>
      <c r="DA1374" s="113"/>
      <c r="DB1374" s="114"/>
      <c r="DC1374" s="64"/>
      <c r="DD1374" s="118"/>
    </row>
    <row r="1375" spans="1:108" s="119" customFormat="1" ht="24" outlineLevel="2">
      <c r="A1375" s="178">
        <v>40511</v>
      </c>
      <c r="B1375" s="164" t="s">
        <v>582</v>
      </c>
      <c r="C1375" s="164" t="s">
        <v>1712</v>
      </c>
      <c r="D1375" s="166" t="s">
        <v>1182</v>
      </c>
      <c r="E1375" s="163"/>
      <c r="F1375" s="105">
        <v>2</v>
      </c>
      <c r="G1375" s="105"/>
      <c r="H1375" s="105">
        <v>5</v>
      </c>
      <c r="I1375" s="105">
        <v>1</v>
      </c>
      <c r="J1375" s="105">
        <v>1</v>
      </c>
      <c r="K1375" s="105"/>
      <c r="L1375" s="105"/>
      <c r="M1375" s="105"/>
      <c r="N1375" s="105"/>
      <c r="O1375" s="105"/>
      <c r="P1375" s="105"/>
      <c r="Q1375" s="105"/>
      <c r="R1375" s="105"/>
      <c r="S1375" s="105"/>
      <c r="T1375" s="106"/>
      <c r="U1375" s="130"/>
      <c r="V1375" s="1"/>
      <c r="W1375" s="68">
        <f t="shared" si="334"/>
        <v>0</v>
      </c>
      <c r="X1375" s="68">
        <f t="shared" si="335"/>
        <v>0</v>
      </c>
      <c r="Y1375" s="68">
        <f t="shared" si="336"/>
        <v>0</v>
      </c>
      <c r="Z1375" s="68">
        <f t="shared" si="337"/>
        <v>0</v>
      </c>
      <c r="AA1375" s="68"/>
      <c r="AB1375" s="68">
        <v>0</v>
      </c>
      <c r="AC1375" s="69">
        <f t="shared" si="340"/>
        <v>0</v>
      </c>
      <c r="AD1375" s="70">
        <v>0</v>
      </c>
      <c r="AE1375" s="63">
        <v>40512</v>
      </c>
      <c r="AF1375" s="72"/>
      <c r="AG1375" s="63" t="s">
        <v>938</v>
      </c>
      <c r="AH1375" s="23" t="s">
        <v>939</v>
      </c>
      <c r="AI1375" s="60"/>
      <c r="AJ1375" s="124" t="s">
        <v>1608</v>
      </c>
      <c r="AK1375" s="121" t="s">
        <v>2076</v>
      </c>
      <c r="AL1375" s="107"/>
      <c r="AM1375" s="108"/>
      <c r="AN1375" s="109"/>
      <c r="AO1375" s="108"/>
      <c r="AP1375" s="108"/>
      <c r="AQ1375" s="108"/>
      <c r="AR1375" s="108"/>
      <c r="AS1375" s="108"/>
      <c r="AT1375" s="108"/>
      <c r="AU1375" s="108"/>
      <c r="AV1375" s="108"/>
      <c r="AW1375" s="108"/>
      <c r="AX1375" s="108"/>
      <c r="AY1375" s="108"/>
      <c r="AZ1375" s="108"/>
      <c r="BA1375" s="108"/>
      <c r="BB1375" s="108"/>
      <c r="BC1375" s="108"/>
      <c r="BD1375" s="108"/>
      <c r="BE1375" s="108"/>
      <c r="BF1375" s="108"/>
      <c r="BG1375" s="108"/>
      <c r="BH1375" s="108"/>
      <c r="BI1375" s="108"/>
      <c r="BJ1375" s="108"/>
      <c r="BK1375" s="108"/>
      <c r="BL1375" s="108"/>
      <c r="BM1375" s="108"/>
      <c r="BN1375" s="108"/>
      <c r="BO1375" s="108"/>
      <c r="BP1375" s="108"/>
      <c r="BQ1375" s="108"/>
      <c r="BR1375" s="108"/>
      <c r="BS1375" s="108"/>
      <c r="BT1375" s="108"/>
      <c r="BU1375" s="108"/>
      <c r="BV1375" s="108"/>
      <c r="BW1375" s="108"/>
      <c r="BX1375" s="108"/>
      <c r="BY1375" s="108"/>
      <c r="BZ1375" s="108"/>
      <c r="CA1375" s="108"/>
      <c r="CB1375" s="108"/>
      <c r="CC1375" s="108"/>
      <c r="CD1375" s="108"/>
      <c r="CE1375" s="108"/>
      <c r="CF1375" s="108"/>
      <c r="CG1375" s="108"/>
      <c r="CH1375" s="108"/>
      <c r="CI1375" s="108"/>
      <c r="CJ1375" s="108"/>
      <c r="CK1375" s="108"/>
      <c r="CL1375" s="108"/>
      <c r="CM1375" s="108"/>
      <c r="CN1375" s="110"/>
      <c r="CO1375" s="111"/>
      <c r="CP1375" s="110"/>
      <c r="CQ1375" s="111"/>
      <c r="CR1375" s="110"/>
      <c r="CS1375" s="111"/>
      <c r="CT1375" s="112">
        <f t="shared" si="341"/>
        <v>0</v>
      </c>
      <c r="CU1375" s="113"/>
      <c r="CV1375" s="114"/>
      <c r="CW1375" s="115"/>
      <c r="CX1375" s="116"/>
      <c r="CY1375" s="117"/>
      <c r="CZ1375" s="116"/>
      <c r="DA1375" s="113"/>
      <c r="DB1375" s="114"/>
      <c r="DC1375" s="64"/>
      <c r="DD1375" s="118"/>
    </row>
    <row r="1376" spans="1:108" s="119" customFormat="1" ht="36" outlineLevel="2">
      <c r="A1376" s="178">
        <v>40511</v>
      </c>
      <c r="B1376" s="164" t="s">
        <v>582</v>
      </c>
      <c r="C1376" s="164" t="s">
        <v>834</v>
      </c>
      <c r="D1376" s="166" t="s">
        <v>1262</v>
      </c>
      <c r="E1376" s="163">
        <v>1</v>
      </c>
      <c r="F1376" s="105"/>
      <c r="G1376" s="105"/>
      <c r="H1376" s="105"/>
      <c r="I1376" s="105"/>
      <c r="J1376" s="105"/>
      <c r="K1376" s="105"/>
      <c r="L1376" s="105"/>
      <c r="M1376" s="105"/>
      <c r="N1376" s="105"/>
      <c r="O1376" s="105"/>
      <c r="P1376" s="105"/>
      <c r="Q1376" s="105"/>
      <c r="R1376" s="105"/>
      <c r="S1376" s="105"/>
      <c r="T1376" s="106"/>
      <c r="U1376" s="130"/>
      <c r="V1376" s="1"/>
      <c r="W1376" s="68">
        <f t="shared" si="334"/>
        <v>0</v>
      </c>
      <c r="X1376" s="68">
        <f t="shared" si="335"/>
        <v>0</v>
      </c>
      <c r="Y1376" s="68">
        <f t="shared" si="336"/>
        <v>0</v>
      </c>
      <c r="Z1376" s="68">
        <f t="shared" si="337"/>
        <v>0</v>
      </c>
      <c r="AA1376" s="68"/>
      <c r="AB1376" s="68">
        <v>0</v>
      </c>
      <c r="AC1376" s="69">
        <f t="shared" si="340"/>
        <v>0</v>
      </c>
      <c r="AD1376" s="70">
        <v>0</v>
      </c>
      <c r="AE1376" s="63">
        <v>40512</v>
      </c>
      <c r="AF1376" s="72"/>
      <c r="AG1376" s="63" t="s">
        <v>938</v>
      </c>
      <c r="AH1376" s="23" t="s">
        <v>939</v>
      </c>
      <c r="AI1376" s="60"/>
      <c r="AJ1376" s="124" t="s">
        <v>1608</v>
      </c>
      <c r="AK1376" s="121" t="s">
        <v>2077</v>
      </c>
      <c r="AL1376" s="107"/>
      <c r="AM1376" s="108"/>
      <c r="AN1376" s="109"/>
      <c r="AO1376" s="108"/>
      <c r="AP1376" s="108"/>
      <c r="AQ1376" s="108"/>
      <c r="AR1376" s="108"/>
      <c r="AS1376" s="108"/>
      <c r="AT1376" s="108"/>
      <c r="AU1376" s="108"/>
      <c r="AV1376" s="108"/>
      <c r="AW1376" s="108"/>
      <c r="AX1376" s="108"/>
      <c r="AY1376" s="108"/>
      <c r="AZ1376" s="108"/>
      <c r="BA1376" s="108"/>
      <c r="BB1376" s="108"/>
      <c r="BC1376" s="108"/>
      <c r="BD1376" s="108"/>
      <c r="BE1376" s="108"/>
      <c r="BF1376" s="108"/>
      <c r="BG1376" s="108"/>
      <c r="BH1376" s="108"/>
      <c r="BI1376" s="108"/>
      <c r="BJ1376" s="108"/>
      <c r="BK1376" s="108"/>
      <c r="BL1376" s="108"/>
      <c r="BM1376" s="108"/>
      <c r="BN1376" s="108"/>
      <c r="BO1376" s="108"/>
      <c r="BP1376" s="108"/>
      <c r="BQ1376" s="108"/>
      <c r="BR1376" s="108"/>
      <c r="BS1376" s="108"/>
      <c r="BT1376" s="108"/>
      <c r="BU1376" s="108"/>
      <c r="BV1376" s="108"/>
      <c r="BW1376" s="108"/>
      <c r="BX1376" s="108"/>
      <c r="BY1376" s="108"/>
      <c r="BZ1376" s="108"/>
      <c r="CA1376" s="108"/>
      <c r="CB1376" s="108"/>
      <c r="CC1376" s="108"/>
      <c r="CD1376" s="108"/>
      <c r="CE1376" s="108"/>
      <c r="CF1376" s="108"/>
      <c r="CG1376" s="108"/>
      <c r="CH1376" s="108"/>
      <c r="CI1376" s="108"/>
      <c r="CJ1376" s="108"/>
      <c r="CK1376" s="108"/>
      <c r="CL1376" s="108"/>
      <c r="CM1376" s="108"/>
      <c r="CN1376" s="110"/>
      <c r="CO1376" s="111"/>
      <c r="CP1376" s="110"/>
      <c r="CQ1376" s="111"/>
      <c r="CR1376" s="110"/>
      <c r="CS1376" s="111"/>
      <c r="CT1376" s="112">
        <f t="shared" si="341"/>
        <v>0</v>
      </c>
      <c r="CU1376" s="113"/>
      <c r="CV1376" s="114"/>
      <c r="CW1376" s="115"/>
      <c r="CX1376" s="116"/>
      <c r="CY1376" s="117"/>
      <c r="CZ1376" s="116"/>
      <c r="DA1376" s="113"/>
      <c r="DB1376" s="114"/>
      <c r="DC1376" s="64"/>
      <c r="DD1376" s="118"/>
    </row>
    <row r="1377" spans="1:108" s="119" customFormat="1" ht="24" outlineLevel="2">
      <c r="A1377" s="178">
        <v>40513</v>
      </c>
      <c r="B1377" s="164" t="s">
        <v>582</v>
      </c>
      <c r="C1377" s="164" t="s">
        <v>834</v>
      </c>
      <c r="D1377" s="166" t="s">
        <v>1262</v>
      </c>
      <c r="E1377" s="163"/>
      <c r="F1377" s="105"/>
      <c r="G1377" s="105"/>
      <c r="H1377" s="105">
        <f>1867*5</f>
        <v>9335</v>
      </c>
      <c r="I1377" s="105">
        <f>2000-133</f>
        <v>1867</v>
      </c>
      <c r="J1377" s="105"/>
      <c r="K1377" s="105">
        <v>230</v>
      </c>
      <c r="L1377" s="105"/>
      <c r="M1377" s="105"/>
      <c r="N1377" s="105"/>
      <c r="O1377" s="105"/>
      <c r="P1377" s="105"/>
      <c r="Q1377" s="105"/>
      <c r="R1377" s="105"/>
      <c r="S1377" s="105"/>
      <c r="T1377" s="106"/>
      <c r="U1377" s="130"/>
      <c r="V1377" s="1"/>
      <c r="W1377" s="68">
        <f t="shared" si="334"/>
        <v>0</v>
      </c>
      <c r="X1377" s="68">
        <f t="shared" si="335"/>
        <v>0</v>
      </c>
      <c r="Y1377" s="68">
        <f t="shared" si="336"/>
        <v>0</v>
      </c>
      <c r="Z1377" s="68">
        <f t="shared" si="337"/>
        <v>0</v>
      </c>
      <c r="AA1377" s="68"/>
      <c r="AB1377" s="68">
        <v>0</v>
      </c>
      <c r="AC1377" s="69">
        <f t="shared" si="340"/>
        <v>0</v>
      </c>
      <c r="AD1377" s="70">
        <v>0</v>
      </c>
      <c r="AE1377" s="63"/>
      <c r="AF1377" s="72"/>
      <c r="AG1377" s="63"/>
      <c r="AH1377" s="23"/>
      <c r="AI1377" s="60"/>
      <c r="AJ1377" s="124"/>
      <c r="AK1377" s="121" t="s">
        <v>2113</v>
      </c>
      <c r="AL1377" s="107"/>
      <c r="AM1377" s="108"/>
      <c r="AN1377" s="109"/>
      <c r="AO1377" s="108"/>
      <c r="AP1377" s="108"/>
      <c r="AQ1377" s="108"/>
      <c r="AR1377" s="108"/>
      <c r="AS1377" s="108"/>
      <c r="AT1377" s="108"/>
      <c r="AU1377" s="108"/>
      <c r="AV1377" s="108"/>
      <c r="AW1377" s="108"/>
      <c r="AX1377" s="108"/>
      <c r="AY1377" s="108"/>
      <c r="AZ1377" s="108"/>
      <c r="BA1377" s="108"/>
      <c r="BB1377" s="108"/>
      <c r="BC1377" s="108"/>
      <c r="BD1377" s="108"/>
      <c r="BE1377" s="108"/>
      <c r="BF1377" s="108"/>
      <c r="BG1377" s="108"/>
      <c r="BH1377" s="108"/>
      <c r="BI1377" s="108"/>
      <c r="BJ1377" s="108"/>
      <c r="BK1377" s="108"/>
      <c r="BL1377" s="108"/>
      <c r="BM1377" s="108"/>
      <c r="BN1377" s="108"/>
      <c r="BO1377" s="108"/>
      <c r="BP1377" s="108"/>
      <c r="BQ1377" s="108"/>
      <c r="BR1377" s="108"/>
      <c r="BS1377" s="108"/>
      <c r="BT1377" s="108"/>
      <c r="BU1377" s="108"/>
      <c r="BV1377" s="108"/>
      <c r="BW1377" s="108"/>
      <c r="BX1377" s="108"/>
      <c r="BY1377" s="108"/>
      <c r="BZ1377" s="108"/>
      <c r="CA1377" s="108"/>
      <c r="CB1377" s="108"/>
      <c r="CC1377" s="108"/>
      <c r="CD1377" s="108"/>
      <c r="CE1377" s="108"/>
      <c r="CF1377" s="108"/>
      <c r="CG1377" s="108"/>
      <c r="CH1377" s="108"/>
      <c r="CI1377" s="108"/>
      <c r="CJ1377" s="108"/>
      <c r="CK1377" s="108"/>
      <c r="CL1377" s="108"/>
      <c r="CM1377" s="108"/>
      <c r="CN1377" s="110"/>
      <c r="CO1377" s="111"/>
      <c r="CP1377" s="110"/>
      <c r="CQ1377" s="111"/>
      <c r="CR1377" s="110"/>
      <c r="CS1377" s="111"/>
      <c r="CT1377" s="112">
        <f t="shared" si="341"/>
        <v>0</v>
      </c>
      <c r="CU1377" s="113"/>
      <c r="CV1377" s="114"/>
      <c r="CW1377" s="115"/>
      <c r="CX1377" s="116"/>
      <c r="CY1377" s="117"/>
      <c r="CZ1377" s="116"/>
      <c r="DA1377" s="113"/>
      <c r="DB1377" s="114"/>
      <c r="DC1377" s="64"/>
      <c r="DD1377" s="118">
        <v>1447</v>
      </c>
    </row>
    <row r="1378" spans="1:108" s="119" customFormat="1" ht="30" customHeight="1" outlineLevel="1">
      <c r="A1378" s="178"/>
      <c r="B1378" s="192" t="s">
        <v>2462</v>
      </c>
      <c r="C1378" s="164"/>
      <c r="D1378" s="166"/>
      <c r="E1378" s="163">
        <f t="shared" ref="E1378:T1378" si="342">SUBTOTAL(9,E1278:E1377)</f>
        <v>10</v>
      </c>
      <c r="F1378" s="105">
        <f t="shared" si="342"/>
        <v>6</v>
      </c>
      <c r="G1378" s="105">
        <f t="shared" si="342"/>
        <v>0</v>
      </c>
      <c r="H1378" s="105">
        <f t="shared" si="342"/>
        <v>55667</v>
      </c>
      <c r="I1378" s="105">
        <f t="shared" si="342"/>
        <v>11206</v>
      </c>
      <c r="J1378" s="105">
        <f t="shared" si="342"/>
        <v>428</v>
      </c>
      <c r="K1378" s="105">
        <f t="shared" si="342"/>
        <v>1925</v>
      </c>
      <c r="L1378" s="105">
        <f t="shared" si="342"/>
        <v>181</v>
      </c>
      <c r="M1378" s="105">
        <f t="shared" si="342"/>
        <v>23</v>
      </c>
      <c r="N1378" s="105">
        <f t="shared" si="342"/>
        <v>2</v>
      </c>
      <c r="O1378" s="105">
        <f t="shared" si="342"/>
        <v>30</v>
      </c>
      <c r="P1378" s="105">
        <f t="shared" si="342"/>
        <v>0</v>
      </c>
      <c r="Q1378" s="105">
        <f t="shared" si="342"/>
        <v>0</v>
      </c>
      <c r="R1378" s="105">
        <f t="shared" si="342"/>
        <v>17</v>
      </c>
      <c r="S1378" s="105">
        <f t="shared" si="342"/>
        <v>4</v>
      </c>
      <c r="T1378" s="106">
        <f t="shared" si="342"/>
        <v>33495</v>
      </c>
      <c r="U1378" s="130"/>
      <c r="V1378" s="1"/>
      <c r="W1378" s="68">
        <f t="shared" ref="W1378:AD1378" si="343">SUBTOTAL(9,W1278:W1377)</f>
        <v>399623687</v>
      </c>
      <c r="X1378" s="68">
        <f t="shared" si="343"/>
        <v>450500000</v>
      </c>
      <c r="Y1378" s="68">
        <f t="shared" si="343"/>
        <v>19836000</v>
      </c>
      <c r="Z1378" s="68">
        <f t="shared" si="343"/>
        <v>94308000</v>
      </c>
      <c r="AA1378" s="68">
        <f t="shared" si="343"/>
        <v>0</v>
      </c>
      <c r="AB1378" s="68">
        <f t="shared" si="343"/>
        <v>28900000</v>
      </c>
      <c r="AC1378" s="69">
        <f t="shared" si="343"/>
        <v>993167687</v>
      </c>
      <c r="AD1378" s="70">
        <f t="shared" si="343"/>
        <v>80500000</v>
      </c>
      <c r="AE1378" s="63"/>
      <c r="AF1378" s="72"/>
      <c r="AG1378" s="63"/>
      <c r="AH1378" s="23"/>
      <c r="AI1378" s="60"/>
      <c r="AJ1378" s="124"/>
      <c r="AK1378" s="121"/>
      <c r="AL1378" s="107"/>
      <c r="AM1378" s="108"/>
      <c r="AN1378" s="109"/>
      <c r="AO1378" s="108"/>
      <c r="AP1378" s="108"/>
      <c r="AQ1378" s="108"/>
      <c r="AR1378" s="108"/>
      <c r="AS1378" s="108"/>
      <c r="AT1378" s="108"/>
      <c r="AU1378" s="108"/>
      <c r="AV1378" s="108"/>
      <c r="AW1378" s="108"/>
      <c r="AX1378" s="108"/>
      <c r="AY1378" s="108"/>
      <c r="AZ1378" s="108"/>
      <c r="BA1378" s="108"/>
      <c r="BB1378" s="108"/>
      <c r="BC1378" s="108"/>
      <c r="BD1378" s="108"/>
      <c r="BE1378" s="108"/>
      <c r="BF1378" s="108"/>
      <c r="BG1378" s="108"/>
      <c r="BH1378" s="108"/>
      <c r="BI1378" s="108"/>
      <c r="BJ1378" s="108"/>
      <c r="BK1378" s="108"/>
      <c r="BL1378" s="108"/>
      <c r="BM1378" s="108"/>
      <c r="BN1378" s="108"/>
      <c r="BO1378" s="108"/>
      <c r="BP1378" s="108"/>
      <c r="BQ1378" s="108"/>
      <c r="BR1378" s="108"/>
      <c r="BS1378" s="108"/>
      <c r="BT1378" s="108"/>
      <c r="BU1378" s="108"/>
      <c r="BV1378" s="108"/>
      <c r="BW1378" s="108"/>
      <c r="BX1378" s="108"/>
      <c r="BY1378" s="108"/>
      <c r="BZ1378" s="108"/>
      <c r="CA1378" s="108"/>
      <c r="CB1378" s="108"/>
      <c r="CC1378" s="108"/>
      <c r="CD1378" s="108"/>
      <c r="CE1378" s="108"/>
      <c r="CF1378" s="108"/>
      <c r="CG1378" s="108"/>
      <c r="CH1378" s="108"/>
      <c r="CI1378" s="108"/>
      <c r="CJ1378" s="108"/>
      <c r="CK1378" s="108"/>
      <c r="CL1378" s="108"/>
      <c r="CM1378" s="108"/>
      <c r="CN1378" s="110"/>
      <c r="CO1378" s="111"/>
      <c r="CP1378" s="110"/>
      <c r="CQ1378" s="111"/>
      <c r="CR1378" s="110"/>
      <c r="CS1378" s="111"/>
      <c r="CT1378" s="112"/>
      <c r="CU1378" s="113"/>
      <c r="CV1378" s="114"/>
      <c r="CW1378" s="115"/>
      <c r="CX1378" s="116"/>
      <c r="CY1378" s="117"/>
      <c r="CZ1378" s="116"/>
      <c r="DA1378" s="113"/>
      <c r="DB1378" s="114"/>
      <c r="DC1378" s="64"/>
      <c r="DD1378" s="118"/>
    </row>
    <row r="1379" spans="1:108" s="119" customFormat="1" ht="45" outlineLevel="2">
      <c r="A1379" s="178">
        <v>40294</v>
      </c>
      <c r="B1379" s="82" t="s">
        <v>1217</v>
      </c>
      <c r="C1379" s="82" t="s">
        <v>1229</v>
      </c>
      <c r="D1379" s="165" t="s">
        <v>435</v>
      </c>
      <c r="E1379" s="167"/>
      <c r="F1379" s="66"/>
      <c r="G1379" s="66"/>
      <c r="H1379" s="66">
        <f>215+135</f>
        <v>350</v>
      </c>
      <c r="I1379" s="66">
        <f>43+27</f>
        <v>70</v>
      </c>
      <c r="J1379" s="66">
        <v>6</v>
      </c>
      <c r="K1379" s="66">
        <f>43+27</f>
        <v>70</v>
      </c>
      <c r="L1379" s="66"/>
      <c r="M1379" s="66"/>
      <c r="N1379" s="66"/>
      <c r="O1379" s="66"/>
      <c r="P1379" s="66"/>
      <c r="Q1379" s="66"/>
      <c r="R1379" s="66"/>
      <c r="S1379" s="66"/>
      <c r="T1379" s="67"/>
      <c r="U1379" s="151"/>
      <c r="V1379" s="1">
        <v>40368</v>
      </c>
      <c r="W1379" s="68">
        <f t="shared" ref="W1379:W1406" si="344">CT1379</f>
        <v>0</v>
      </c>
      <c r="X1379" s="68">
        <f t="shared" ref="X1379:X1406" si="345">CX1379</f>
        <v>0</v>
      </c>
      <c r="Y1379" s="68">
        <f t="shared" ref="Y1379:Y1406" si="346">CZ1379+DB1379</f>
        <v>19430800</v>
      </c>
      <c r="Z1379" s="68">
        <f t="shared" ref="Z1379:Z1406" si="347">CV1379</f>
        <v>0</v>
      </c>
      <c r="AA1379" s="68"/>
      <c r="AB1379" s="68">
        <v>0</v>
      </c>
      <c r="AC1379" s="69">
        <f t="shared" ref="AC1379:AC1406" si="348">W1379+X1379+Y1379+Z1379+AA1379+AB1379</f>
        <v>19430800</v>
      </c>
      <c r="AD1379" s="70">
        <v>0</v>
      </c>
      <c r="AE1379" s="63">
        <v>40330</v>
      </c>
      <c r="AF1379" s="72">
        <v>97922</v>
      </c>
      <c r="AG1379" s="63" t="s">
        <v>954</v>
      </c>
      <c r="AH1379" s="23" t="s">
        <v>955</v>
      </c>
      <c r="AI1379" s="60">
        <v>195</v>
      </c>
      <c r="AJ1379" s="133" t="s">
        <v>415</v>
      </c>
      <c r="AK1379" s="73" t="s">
        <v>1232</v>
      </c>
      <c r="AL1379" s="3"/>
      <c r="AM1379" s="4"/>
      <c r="AN1379" s="5"/>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6"/>
      <c r="CO1379" s="7"/>
      <c r="CP1379" s="6"/>
      <c r="CQ1379" s="7"/>
      <c r="CR1379" s="6"/>
      <c r="CS1379" s="7"/>
      <c r="CT1379" s="8">
        <f t="shared" ref="CT1379:CT1406" si="349">AM1379+AO1379+AQ1379+AS1379+AU1379+AW1379+AY1379+BA1379+BC1379+BE1379+BG1379+BI1379+BK1379+BM1379+BO1379+BQ1379+BS1379+BU1379+BW1379+BY1379+CA1379+CC1379+CE1379+CG1379+CI1379+CK1379+CM1379+CO1379+CQ1379+CS1379</f>
        <v>0</v>
      </c>
      <c r="CU1379" s="9"/>
      <c r="CV1379" s="10"/>
      <c r="CW1379" s="11"/>
      <c r="CX1379" s="12"/>
      <c r="CY1379" s="26"/>
      <c r="CZ1379" s="12"/>
      <c r="DA1379" s="9">
        <v>850</v>
      </c>
      <c r="DB1379" s="10">
        <f>850*22000+2100*348</f>
        <v>19430800</v>
      </c>
      <c r="DC1379" s="64"/>
      <c r="DD1379" s="22"/>
    </row>
    <row r="1380" spans="1:108" s="119" customFormat="1" ht="24" outlineLevel="2">
      <c r="A1380" s="178">
        <v>40348</v>
      </c>
      <c r="B1380" s="82" t="s">
        <v>1217</v>
      </c>
      <c r="C1380" s="82" t="s">
        <v>1875</v>
      </c>
      <c r="D1380" s="165" t="s">
        <v>435</v>
      </c>
      <c r="E1380" s="167"/>
      <c r="F1380" s="66"/>
      <c r="G1380" s="66"/>
      <c r="H1380" s="66">
        <f>78+57</f>
        <v>135</v>
      </c>
      <c r="I1380" s="66">
        <v>27</v>
      </c>
      <c r="J1380" s="66"/>
      <c r="K1380" s="66">
        <v>27</v>
      </c>
      <c r="L1380" s="66"/>
      <c r="M1380" s="66"/>
      <c r="N1380" s="66"/>
      <c r="O1380" s="66"/>
      <c r="P1380" s="66"/>
      <c r="Q1380" s="66"/>
      <c r="R1380" s="66">
        <v>1</v>
      </c>
      <c r="S1380" s="66"/>
      <c r="T1380" s="67"/>
      <c r="U1380" s="151"/>
      <c r="V1380" s="1"/>
      <c r="W1380" s="68">
        <f t="shared" si="344"/>
        <v>0</v>
      </c>
      <c r="X1380" s="68">
        <f t="shared" si="345"/>
        <v>0</v>
      </c>
      <c r="Y1380" s="68">
        <f t="shared" si="346"/>
        <v>0</v>
      </c>
      <c r="Z1380" s="68">
        <f t="shared" si="347"/>
        <v>0</v>
      </c>
      <c r="AA1380" s="68"/>
      <c r="AB1380" s="68">
        <v>0</v>
      </c>
      <c r="AC1380" s="69">
        <f t="shared" si="348"/>
        <v>0</v>
      </c>
      <c r="AD1380" s="70">
        <v>0</v>
      </c>
      <c r="AE1380" s="63">
        <v>40371</v>
      </c>
      <c r="AF1380" s="72"/>
      <c r="AG1380" s="63" t="s">
        <v>938</v>
      </c>
      <c r="AH1380" s="23" t="s">
        <v>939</v>
      </c>
      <c r="AI1380" s="60"/>
      <c r="AJ1380" s="133" t="s">
        <v>1608</v>
      </c>
      <c r="AK1380" s="73" t="s">
        <v>1362</v>
      </c>
      <c r="AL1380" s="3"/>
      <c r="AM1380" s="4"/>
      <c r="AN1380" s="5"/>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6"/>
      <c r="CO1380" s="7"/>
      <c r="CP1380" s="6"/>
      <c r="CQ1380" s="7"/>
      <c r="CR1380" s="6"/>
      <c r="CS1380" s="7"/>
      <c r="CT1380" s="8">
        <f t="shared" si="349"/>
        <v>0</v>
      </c>
      <c r="CU1380" s="9"/>
      <c r="CV1380" s="10"/>
      <c r="CW1380" s="11"/>
      <c r="CX1380" s="12"/>
      <c r="CY1380" s="26"/>
      <c r="CZ1380" s="12"/>
      <c r="DA1380" s="9"/>
      <c r="DB1380" s="10"/>
      <c r="DC1380" s="64"/>
      <c r="DD1380" s="22"/>
    </row>
    <row r="1381" spans="1:108" s="119" customFormat="1" ht="48" outlineLevel="2">
      <c r="A1381" s="178">
        <v>40349</v>
      </c>
      <c r="B1381" s="82" t="s">
        <v>1217</v>
      </c>
      <c r="C1381" s="82" t="s">
        <v>1919</v>
      </c>
      <c r="D1381" s="165" t="s">
        <v>1262</v>
      </c>
      <c r="E1381" s="167"/>
      <c r="F1381" s="66"/>
      <c r="G1381" s="66"/>
      <c r="H1381" s="66">
        <v>300</v>
      </c>
      <c r="I1381" s="66">
        <v>60</v>
      </c>
      <c r="J1381" s="66"/>
      <c r="K1381" s="66">
        <v>60</v>
      </c>
      <c r="L1381" s="66"/>
      <c r="M1381" s="66"/>
      <c r="N1381" s="66"/>
      <c r="O1381" s="66"/>
      <c r="P1381" s="66"/>
      <c r="Q1381" s="66"/>
      <c r="R1381" s="66"/>
      <c r="S1381" s="66"/>
      <c r="T1381" s="67">
        <v>35</v>
      </c>
      <c r="U1381" s="151" t="s">
        <v>1921</v>
      </c>
      <c r="V1381" s="1"/>
      <c r="W1381" s="68">
        <f t="shared" si="344"/>
        <v>0</v>
      </c>
      <c r="X1381" s="68">
        <f t="shared" si="345"/>
        <v>0</v>
      </c>
      <c r="Y1381" s="68">
        <f t="shared" si="346"/>
        <v>0</v>
      </c>
      <c r="Z1381" s="68">
        <f t="shared" si="347"/>
        <v>0</v>
      </c>
      <c r="AA1381" s="68"/>
      <c r="AB1381" s="68">
        <v>0</v>
      </c>
      <c r="AC1381" s="69">
        <f t="shared" si="348"/>
        <v>0</v>
      </c>
      <c r="AD1381" s="70">
        <v>0</v>
      </c>
      <c r="AE1381" s="63">
        <v>40352</v>
      </c>
      <c r="AF1381" s="72"/>
      <c r="AG1381" s="63" t="s">
        <v>938</v>
      </c>
      <c r="AH1381" s="23" t="s">
        <v>939</v>
      </c>
      <c r="AI1381" s="60"/>
      <c r="AJ1381" s="133" t="s">
        <v>1608</v>
      </c>
      <c r="AK1381" s="73" t="s">
        <v>1920</v>
      </c>
      <c r="AL1381" s="3"/>
      <c r="AM1381" s="4"/>
      <c r="AN1381" s="5"/>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6"/>
      <c r="CO1381" s="7"/>
      <c r="CP1381" s="6"/>
      <c r="CQ1381" s="7"/>
      <c r="CR1381" s="6"/>
      <c r="CS1381" s="7"/>
      <c r="CT1381" s="8">
        <f t="shared" si="349"/>
        <v>0</v>
      </c>
      <c r="CU1381" s="9"/>
      <c r="CV1381" s="10"/>
      <c r="CW1381" s="11"/>
      <c r="CX1381" s="12"/>
      <c r="CY1381" s="26"/>
      <c r="CZ1381" s="12"/>
      <c r="DA1381" s="9"/>
      <c r="DB1381" s="10"/>
      <c r="DC1381" s="64"/>
      <c r="DD1381" s="22"/>
    </row>
    <row r="1382" spans="1:108" s="119" customFormat="1" ht="72" outlineLevel="2">
      <c r="A1382" s="178">
        <v>40369</v>
      </c>
      <c r="B1382" s="82" t="s">
        <v>1217</v>
      </c>
      <c r="C1382" s="82" t="s">
        <v>1197</v>
      </c>
      <c r="D1382" s="165" t="s">
        <v>1262</v>
      </c>
      <c r="E1382" s="167"/>
      <c r="F1382" s="66"/>
      <c r="G1382" s="66"/>
      <c r="H1382" s="66">
        <v>5600</v>
      </c>
      <c r="I1382" s="66">
        <v>1400</v>
      </c>
      <c r="J1382" s="66"/>
      <c r="K1382" s="66">
        <v>1248</v>
      </c>
      <c r="L1382" s="66"/>
      <c r="M1382" s="66"/>
      <c r="N1382" s="66"/>
      <c r="O1382" s="66"/>
      <c r="P1382" s="66"/>
      <c r="Q1382" s="66"/>
      <c r="R1382" s="66"/>
      <c r="S1382" s="66"/>
      <c r="T1382" s="67">
        <v>670</v>
      </c>
      <c r="U1382" s="151"/>
      <c r="V1382" s="1">
        <v>40445</v>
      </c>
      <c r="W1382" s="68">
        <f t="shared" si="344"/>
        <v>66750000</v>
      </c>
      <c r="X1382" s="68">
        <f t="shared" si="345"/>
        <v>295035000</v>
      </c>
      <c r="Y1382" s="68">
        <f t="shared" si="346"/>
        <v>0</v>
      </c>
      <c r="Z1382" s="68">
        <f t="shared" si="347"/>
        <v>0</v>
      </c>
      <c r="AA1382" s="68"/>
      <c r="AB1382" s="68">
        <v>0</v>
      </c>
      <c r="AC1382" s="69">
        <f t="shared" si="348"/>
        <v>361785000</v>
      </c>
      <c r="AD1382" s="70">
        <v>0</v>
      </c>
      <c r="AE1382" s="63">
        <v>40375</v>
      </c>
      <c r="AF1382" s="72">
        <v>41524</v>
      </c>
      <c r="AG1382" s="63" t="s">
        <v>954</v>
      </c>
      <c r="AH1382" s="23" t="s">
        <v>955</v>
      </c>
      <c r="AI1382" s="60">
        <v>20208</v>
      </c>
      <c r="AJ1382" s="133" t="s">
        <v>1339</v>
      </c>
      <c r="AK1382" s="73" t="s">
        <v>1420</v>
      </c>
      <c r="AL1382" s="3"/>
      <c r="AM1382" s="4"/>
      <c r="AN1382" s="5"/>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v>500</v>
      </c>
      <c r="BK1382" s="4">
        <f>500*25500</f>
        <v>12750000</v>
      </c>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v>3000</v>
      </c>
      <c r="CM1382" s="4">
        <f>3000*18000</f>
        <v>54000000</v>
      </c>
      <c r="CN1382" s="6"/>
      <c r="CO1382" s="7"/>
      <c r="CP1382" s="6"/>
      <c r="CQ1382" s="7"/>
      <c r="CR1382" s="6"/>
      <c r="CS1382" s="7"/>
      <c r="CT1382" s="8">
        <f t="shared" si="349"/>
        <v>66750000</v>
      </c>
      <c r="CU1382" s="9"/>
      <c r="CV1382" s="10"/>
      <c r="CW1382" s="11">
        <f>1400+2071</f>
        <v>3471</v>
      </c>
      <c r="CX1382" s="12">
        <f>1400*85000+2071*85000</f>
        <v>295035000</v>
      </c>
      <c r="CY1382" s="26"/>
      <c r="CZ1382" s="12"/>
      <c r="DA1382" s="9"/>
      <c r="DB1382" s="10"/>
      <c r="DC1382" s="64"/>
      <c r="DD1382" s="22"/>
    </row>
    <row r="1383" spans="1:108" s="119" customFormat="1" ht="216" outlineLevel="2">
      <c r="A1383" s="178">
        <v>40370</v>
      </c>
      <c r="B1383" s="82" t="s">
        <v>1217</v>
      </c>
      <c r="C1383" s="82" t="s">
        <v>1217</v>
      </c>
      <c r="D1383" s="165" t="s">
        <v>1262</v>
      </c>
      <c r="E1383" s="167"/>
      <c r="F1383" s="66"/>
      <c r="G1383" s="66"/>
      <c r="H1383" s="66">
        <v>30128</v>
      </c>
      <c r="I1383" s="66">
        <v>7532</v>
      </c>
      <c r="J1383" s="66"/>
      <c r="K1383" s="66">
        <v>5024</v>
      </c>
      <c r="L1383" s="66"/>
      <c r="M1383" s="66"/>
      <c r="N1383" s="66"/>
      <c r="O1383" s="66"/>
      <c r="P1383" s="66"/>
      <c r="Q1383" s="66"/>
      <c r="R1383" s="66"/>
      <c r="S1383" s="66"/>
      <c r="T1383" s="67">
        <v>7215</v>
      </c>
      <c r="U1383" s="151" t="s">
        <v>2089</v>
      </c>
      <c r="V1383" s="1">
        <v>40392</v>
      </c>
      <c r="W1383" s="68">
        <f t="shared" si="344"/>
        <v>351799000</v>
      </c>
      <c r="X1383" s="68">
        <f t="shared" si="345"/>
        <v>1150220000</v>
      </c>
      <c r="Y1383" s="68">
        <f t="shared" si="346"/>
        <v>0</v>
      </c>
      <c r="Z1383" s="68">
        <f t="shared" si="347"/>
        <v>0</v>
      </c>
      <c r="AA1383" s="68">
        <v>11460800</v>
      </c>
      <c r="AB1383" s="68">
        <v>75000000</v>
      </c>
      <c r="AC1383" s="69">
        <f t="shared" si="348"/>
        <v>1588479800</v>
      </c>
      <c r="AD1383" s="70">
        <v>0</v>
      </c>
      <c r="AE1383" s="63">
        <v>40367</v>
      </c>
      <c r="AF1383" s="79" t="s">
        <v>1747</v>
      </c>
      <c r="AG1383" s="63" t="s">
        <v>954</v>
      </c>
      <c r="AH1383" s="23" t="s">
        <v>955</v>
      </c>
      <c r="AI1383" s="75" t="s">
        <v>1748</v>
      </c>
      <c r="AJ1383" s="133" t="s">
        <v>1476</v>
      </c>
      <c r="AK1383" s="73" t="s">
        <v>2088</v>
      </c>
      <c r="AL1383" s="3"/>
      <c r="AM1383" s="4"/>
      <c r="AN1383" s="5"/>
      <c r="AO1383" s="4"/>
      <c r="AP1383" s="4"/>
      <c r="AQ1383" s="4"/>
      <c r="AR1383" s="4"/>
      <c r="AS1383" s="4"/>
      <c r="AT1383" s="4"/>
      <c r="AU1383" s="4"/>
      <c r="AV1383" s="4"/>
      <c r="AW1383" s="4"/>
      <c r="AX1383" s="4">
        <v>1000</v>
      </c>
      <c r="AY1383" s="4">
        <f>1000*57758</f>
        <v>57758000</v>
      </c>
      <c r="AZ1383" s="4"/>
      <c r="BA1383" s="4"/>
      <c r="BB1383" s="4"/>
      <c r="BC1383" s="4"/>
      <c r="BD1383" s="4"/>
      <c r="BE1383" s="4"/>
      <c r="BF1383" s="4"/>
      <c r="BG1383" s="4"/>
      <c r="BH1383" s="4"/>
      <c r="BI1383" s="4"/>
      <c r="BJ1383" s="4">
        <v>1000</v>
      </c>
      <c r="BK1383" s="4">
        <f>1000*25500</f>
        <v>25500000</v>
      </c>
      <c r="BL1383" s="4"/>
      <c r="BM1383" s="4"/>
      <c r="BN1383" s="4"/>
      <c r="BO1383" s="4"/>
      <c r="BP1383" s="4"/>
      <c r="BQ1383" s="4"/>
      <c r="BR1383" s="4"/>
      <c r="BS1383" s="4"/>
      <c r="BT1383" s="4"/>
      <c r="BU1383" s="4"/>
      <c r="BV1383" s="4"/>
      <c r="BW1383" s="4"/>
      <c r="BX1383" s="4">
        <f>15+15</f>
        <v>30</v>
      </c>
      <c r="BY1383" s="4">
        <f>15*504600+15*468000</f>
        <v>14589000</v>
      </c>
      <c r="BZ1383" s="4"/>
      <c r="CA1383" s="4"/>
      <c r="CB1383" s="4"/>
      <c r="CC1383" s="4"/>
      <c r="CD1383" s="4"/>
      <c r="CE1383" s="4"/>
      <c r="CF1383" s="4"/>
      <c r="CG1383" s="4"/>
      <c r="CH1383" s="4"/>
      <c r="CI1383" s="4"/>
      <c r="CJ1383" s="4"/>
      <c r="CK1383" s="4"/>
      <c r="CL1383" s="4">
        <f>7000+1000</f>
        <v>8000</v>
      </c>
      <c r="CM1383" s="4">
        <f>7000*18000+1000*18000</f>
        <v>144000000</v>
      </c>
      <c r="CN1383" s="6">
        <f>1000+1000</f>
        <v>2000</v>
      </c>
      <c r="CO1383" s="7">
        <f>1000*37000+1000*36952</f>
        <v>73952000</v>
      </c>
      <c r="CP1383" s="6">
        <v>1000</v>
      </c>
      <c r="CQ1383" s="7">
        <f>1000*36000</f>
        <v>36000000</v>
      </c>
      <c r="CR1383" s="6"/>
      <c r="CS1383" s="7"/>
      <c r="CT1383" s="8">
        <f t="shared" si="349"/>
        <v>351799000</v>
      </c>
      <c r="CU1383" s="9"/>
      <c r="CV1383" s="10"/>
      <c r="CW1383" s="11">
        <f>1000+1000+2000+2000+7532</f>
        <v>13532</v>
      </c>
      <c r="CX1383" s="12">
        <f>1000*85000+1000*85000+2000*85000+2000*85000+7532*85000</f>
        <v>1150220000</v>
      </c>
      <c r="CY1383" s="26"/>
      <c r="CZ1383" s="12"/>
      <c r="DA1383" s="9"/>
      <c r="DB1383" s="10"/>
      <c r="DC1383" s="64">
        <v>2</v>
      </c>
      <c r="DD1383" s="22"/>
    </row>
    <row r="1384" spans="1:108" s="119" customFormat="1" ht="72" outlineLevel="2">
      <c r="A1384" s="178">
        <v>40374</v>
      </c>
      <c r="B1384" s="82" t="s">
        <v>1217</v>
      </c>
      <c r="C1384" s="82" t="s">
        <v>1874</v>
      </c>
      <c r="D1384" s="165" t="s">
        <v>1262</v>
      </c>
      <c r="E1384" s="167"/>
      <c r="F1384" s="66"/>
      <c r="G1384" s="66"/>
      <c r="H1384" s="66">
        <v>5268</v>
      </c>
      <c r="I1384" s="66">
        <v>1314</v>
      </c>
      <c r="J1384" s="66"/>
      <c r="K1384" s="66">
        <v>1151</v>
      </c>
      <c r="L1384" s="66"/>
      <c r="M1384" s="66"/>
      <c r="N1384" s="66"/>
      <c r="O1384" s="66"/>
      <c r="P1384" s="66"/>
      <c r="Q1384" s="66"/>
      <c r="R1384" s="66"/>
      <c r="S1384" s="66"/>
      <c r="T1384" s="67">
        <v>1222</v>
      </c>
      <c r="U1384" s="151" t="s">
        <v>414</v>
      </c>
      <c r="V1384" s="1">
        <v>40429</v>
      </c>
      <c r="W1384" s="68">
        <f t="shared" si="344"/>
        <v>75600000</v>
      </c>
      <c r="X1384" s="68">
        <f t="shared" si="345"/>
        <v>187000000</v>
      </c>
      <c r="Y1384" s="68">
        <f t="shared" si="346"/>
        <v>0</v>
      </c>
      <c r="Z1384" s="68">
        <f t="shared" si="347"/>
        <v>0</v>
      </c>
      <c r="AA1384" s="68"/>
      <c r="AB1384" s="68">
        <v>0</v>
      </c>
      <c r="AC1384" s="69">
        <f t="shared" si="348"/>
        <v>262600000</v>
      </c>
      <c r="AD1384" s="70">
        <v>0</v>
      </c>
      <c r="AE1384" s="63">
        <v>40409</v>
      </c>
      <c r="AF1384" s="72">
        <v>41943</v>
      </c>
      <c r="AG1384" s="63" t="s">
        <v>954</v>
      </c>
      <c r="AH1384" s="23" t="s">
        <v>955</v>
      </c>
      <c r="AI1384" s="60"/>
      <c r="AJ1384" s="133" t="s">
        <v>1746</v>
      </c>
      <c r="AK1384" s="73" t="s">
        <v>1525</v>
      </c>
      <c r="AL1384" s="3"/>
      <c r="AM1384" s="4"/>
      <c r="AN1384" s="5"/>
      <c r="AO1384" s="4"/>
      <c r="AP1384" s="4"/>
      <c r="AQ1384" s="4"/>
      <c r="AR1384" s="4"/>
      <c r="AS1384" s="4"/>
      <c r="AT1384" s="4"/>
      <c r="AU1384" s="4"/>
      <c r="AV1384" s="4"/>
      <c r="AW1384" s="4"/>
      <c r="AX1384" s="4"/>
      <c r="AY1384" s="4"/>
      <c r="AZ1384" s="4">
        <v>800</v>
      </c>
      <c r="BA1384" s="4">
        <f>800*56000</f>
        <v>44800000</v>
      </c>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6">
        <v>800</v>
      </c>
      <c r="CO1384" s="7">
        <f>800*38500</f>
        <v>30800000</v>
      </c>
      <c r="CP1384" s="6"/>
      <c r="CQ1384" s="7"/>
      <c r="CR1384" s="6"/>
      <c r="CS1384" s="7"/>
      <c r="CT1384" s="8">
        <f t="shared" si="349"/>
        <v>75600000</v>
      </c>
      <c r="CU1384" s="9"/>
      <c r="CV1384" s="10"/>
      <c r="CW1384" s="11">
        <f>800+1400</f>
        <v>2200</v>
      </c>
      <c r="CX1384" s="12">
        <f>800*85000+1400*85000</f>
        <v>187000000</v>
      </c>
      <c r="CY1384" s="26"/>
      <c r="CZ1384" s="12"/>
      <c r="DA1384" s="9"/>
      <c r="DB1384" s="10"/>
      <c r="DC1384" s="64"/>
      <c r="DD1384" s="22"/>
    </row>
    <row r="1385" spans="1:108" s="119" customFormat="1" ht="33.75" outlineLevel="2">
      <c r="A1385" s="178">
        <v>40374</v>
      </c>
      <c r="B1385" s="82" t="s">
        <v>1217</v>
      </c>
      <c r="C1385" s="82" t="s">
        <v>953</v>
      </c>
      <c r="D1385" s="165" t="s">
        <v>1262</v>
      </c>
      <c r="E1385" s="167"/>
      <c r="F1385" s="66"/>
      <c r="G1385" s="66"/>
      <c r="H1385" s="66"/>
      <c r="I1385" s="66"/>
      <c r="J1385" s="66"/>
      <c r="K1385" s="66"/>
      <c r="L1385" s="66"/>
      <c r="M1385" s="66"/>
      <c r="N1385" s="66"/>
      <c r="O1385" s="66"/>
      <c r="P1385" s="66"/>
      <c r="Q1385" s="66"/>
      <c r="R1385" s="66"/>
      <c r="S1385" s="66"/>
      <c r="T1385" s="67"/>
      <c r="U1385" s="151"/>
      <c r="V1385" s="1">
        <v>40392</v>
      </c>
      <c r="W1385" s="68">
        <f t="shared" si="344"/>
        <v>0</v>
      </c>
      <c r="X1385" s="68">
        <f t="shared" si="345"/>
        <v>0</v>
      </c>
      <c r="Y1385" s="68">
        <f t="shared" si="346"/>
        <v>0</v>
      </c>
      <c r="Z1385" s="68">
        <f t="shared" si="347"/>
        <v>189439600</v>
      </c>
      <c r="AA1385" s="68"/>
      <c r="AB1385" s="68">
        <v>0</v>
      </c>
      <c r="AC1385" s="69">
        <f t="shared" si="348"/>
        <v>189439600</v>
      </c>
      <c r="AD1385" s="70">
        <v>0</v>
      </c>
      <c r="AE1385" s="63">
        <v>40381</v>
      </c>
      <c r="AF1385" s="72">
        <v>35952</v>
      </c>
      <c r="AG1385" s="63" t="s">
        <v>954</v>
      </c>
      <c r="AH1385" s="23" t="s">
        <v>955</v>
      </c>
      <c r="AI1385" s="75" t="s">
        <v>1493</v>
      </c>
      <c r="AJ1385" s="133" t="s">
        <v>976</v>
      </c>
      <c r="AK1385" s="73" t="s">
        <v>245</v>
      </c>
      <c r="AL1385" s="3"/>
      <c r="AM1385" s="4"/>
      <c r="AN1385" s="5"/>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6"/>
      <c r="CO1385" s="7"/>
      <c r="CP1385" s="6"/>
      <c r="CQ1385" s="7"/>
      <c r="CR1385" s="6"/>
      <c r="CS1385" s="7"/>
      <c r="CT1385" s="8">
        <f t="shared" si="349"/>
        <v>0</v>
      </c>
      <c r="CU1385" s="9">
        <f>60000+50000+100000</f>
        <v>210000</v>
      </c>
      <c r="CV1385" s="10">
        <f>60000*900.16+50000*899+100000*904.8</f>
        <v>189439600</v>
      </c>
      <c r="CW1385" s="11"/>
      <c r="CX1385" s="12"/>
      <c r="CY1385" s="26"/>
      <c r="CZ1385" s="12"/>
      <c r="DA1385" s="9"/>
      <c r="DB1385" s="10"/>
      <c r="DC1385" s="64"/>
      <c r="DD1385" s="22"/>
    </row>
    <row r="1386" spans="1:108" s="119" customFormat="1" ht="144" outlineLevel="2">
      <c r="A1386" s="178">
        <v>40374</v>
      </c>
      <c r="B1386" s="82" t="s">
        <v>1217</v>
      </c>
      <c r="C1386" s="82" t="s">
        <v>1875</v>
      </c>
      <c r="D1386" s="165" t="s">
        <v>1262</v>
      </c>
      <c r="E1386" s="167"/>
      <c r="F1386" s="66"/>
      <c r="G1386" s="66"/>
      <c r="H1386" s="66">
        <f>17148-135</f>
        <v>17013</v>
      </c>
      <c r="I1386" s="66">
        <f>4287-27</f>
        <v>4260</v>
      </c>
      <c r="J1386" s="66">
        <v>6</v>
      </c>
      <c r="K1386" s="66">
        <f>3560-27</f>
        <v>3533</v>
      </c>
      <c r="L1386" s="66"/>
      <c r="M1386" s="66"/>
      <c r="N1386" s="66"/>
      <c r="O1386" s="66"/>
      <c r="P1386" s="66"/>
      <c r="Q1386" s="66"/>
      <c r="R1386" s="66"/>
      <c r="S1386" s="66"/>
      <c r="T1386" s="67">
        <v>4052</v>
      </c>
      <c r="U1386" s="151"/>
      <c r="V1386" s="1">
        <v>40434</v>
      </c>
      <c r="W1386" s="68">
        <f t="shared" si="344"/>
        <v>0</v>
      </c>
      <c r="X1386" s="68">
        <f t="shared" si="345"/>
        <v>687565000</v>
      </c>
      <c r="Y1386" s="68">
        <f t="shared" si="346"/>
        <v>0</v>
      </c>
      <c r="Z1386" s="68">
        <f t="shared" si="347"/>
        <v>0</v>
      </c>
      <c r="AA1386" s="68"/>
      <c r="AB1386" s="68">
        <v>0</v>
      </c>
      <c r="AC1386" s="69">
        <f t="shared" si="348"/>
        <v>687565000</v>
      </c>
      <c r="AD1386" s="70">
        <v>0</v>
      </c>
      <c r="AE1386" s="63">
        <v>40385</v>
      </c>
      <c r="AF1386" s="79" t="s">
        <v>442</v>
      </c>
      <c r="AG1386" s="63" t="s">
        <v>954</v>
      </c>
      <c r="AH1386" s="23" t="s">
        <v>955</v>
      </c>
      <c r="AI1386" s="75" t="s">
        <v>443</v>
      </c>
      <c r="AJ1386" s="133" t="s">
        <v>2238</v>
      </c>
      <c r="AK1386" s="73" t="s">
        <v>1819</v>
      </c>
      <c r="AL1386" s="3"/>
      <c r="AM1386" s="4"/>
      <c r="AN1386" s="5"/>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6"/>
      <c r="CO1386" s="7"/>
      <c r="CP1386" s="6"/>
      <c r="CQ1386" s="7"/>
      <c r="CR1386" s="6"/>
      <c r="CS1386" s="7"/>
      <c r="CT1386" s="8">
        <f t="shared" si="349"/>
        <v>0</v>
      </c>
      <c r="CU1386" s="9"/>
      <c r="CV1386" s="10"/>
      <c r="CW1386" s="11">
        <f>1000+1500+5589</f>
        <v>8089</v>
      </c>
      <c r="CX1386" s="12">
        <f>1000*85000+1500*85000+5589*85000</f>
        <v>687565000</v>
      </c>
      <c r="CY1386" s="26"/>
      <c r="CZ1386" s="12"/>
      <c r="DA1386" s="9"/>
      <c r="DB1386" s="10"/>
      <c r="DC1386" s="64"/>
      <c r="DD1386" s="22"/>
    </row>
    <row r="1387" spans="1:108" s="119" customFormat="1" ht="96" outlineLevel="2">
      <c r="A1387" s="178">
        <v>40378</v>
      </c>
      <c r="B1387" s="82" t="s">
        <v>1217</v>
      </c>
      <c r="C1387" s="82" t="s">
        <v>1919</v>
      </c>
      <c r="D1387" s="165" t="s">
        <v>1262</v>
      </c>
      <c r="E1387" s="167"/>
      <c r="F1387" s="66"/>
      <c r="G1387" s="66"/>
      <c r="H1387" s="66">
        <v>4472</v>
      </c>
      <c r="I1387" s="66">
        <v>1118</v>
      </c>
      <c r="J1387" s="66"/>
      <c r="K1387" s="66">
        <v>911</v>
      </c>
      <c r="L1387" s="66"/>
      <c r="M1387" s="66"/>
      <c r="N1387" s="66"/>
      <c r="O1387" s="66"/>
      <c r="P1387" s="66"/>
      <c r="Q1387" s="66"/>
      <c r="R1387" s="66"/>
      <c r="S1387" s="66"/>
      <c r="T1387" s="67">
        <v>1886</v>
      </c>
      <c r="U1387" s="151" t="s">
        <v>1560</v>
      </c>
      <c r="V1387" s="1">
        <v>40396</v>
      </c>
      <c r="W1387" s="68">
        <f t="shared" si="344"/>
        <v>82069000</v>
      </c>
      <c r="X1387" s="68">
        <f t="shared" si="345"/>
        <v>180030000</v>
      </c>
      <c r="Y1387" s="68">
        <f t="shared" si="346"/>
        <v>0</v>
      </c>
      <c r="Z1387" s="68">
        <f t="shared" si="347"/>
        <v>0</v>
      </c>
      <c r="AA1387" s="68">
        <v>11460800</v>
      </c>
      <c r="AB1387" s="68">
        <v>0</v>
      </c>
      <c r="AC1387" s="69">
        <f t="shared" si="348"/>
        <v>273559800</v>
      </c>
      <c r="AD1387" s="70">
        <v>0</v>
      </c>
      <c r="AE1387" s="63">
        <v>40381</v>
      </c>
      <c r="AF1387" s="72">
        <v>38879</v>
      </c>
      <c r="AG1387" s="63" t="s">
        <v>954</v>
      </c>
      <c r="AH1387" s="23" t="s">
        <v>955</v>
      </c>
      <c r="AI1387" s="75" t="s">
        <v>2060</v>
      </c>
      <c r="AJ1387" s="133" t="s">
        <v>1476</v>
      </c>
      <c r="AK1387" s="73" t="s">
        <v>1820</v>
      </c>
      <c r="AL1387" s="3"/>
      <c r="AM1387" s="4"/>
      <c r="AN1387" s="5"/>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v>15</v>
      </c>
      <c r="BY1387" s="4">
        <f>15*504600</f>
        <v>7569000</v>
      </c>
      <c r="BZ1387" s="4"/>
      <c r="CA1387" s="4"/>
      <c r="CB1387" s="4"/>
      <c r="CC1387" s="4"/>
      <c r="CD1387" s="4"/>
      <c r="CE1387" s="4"/>
      <c r="CF1387" s="4"/>
      <c r="CG1387" s="4"/>
      <c r="CH1387" s="4"/>
      <c r="CI1387" s="4"/>
      <c r="CJ1387" s="4"/>
      <c r="CK1387" s="4"/>
      <c r="CL1387" s="4"/>
      <c r="CM1387" s="4"/>
      <c r="CN1387" s="6">
        <v>1000</v>
      </c>
      <c r="CO1387" s="7">
        <f>1000*38500</f>
        <v>38500000</v>
      </c>
      <c r="CP1387" s="6">
        <v>1000</v>
      </c>
      <c r="CQ1387" s="7">
        <f>1000*36000</f>
        <v>36000000</v>
      </c>
      <c r="CR1387" s="6"/>
      <c r="CS1387" s="7"/>
      <c r="CT1387" s="8">
        <f t="shared" si="349"/>
        <v>82069000</v>
      </c>
      <c r="CU1387" s="9"/>
      <c r="CV1387" s="10"/>
      <c r="CW1387" s="11">
        <f>1000+1118</f>
        <v>2118</v>
      </c>
      <c r="CX1387" s="12">
        <f>1000*85000+1118*85000</f>
        <v>180030000</v>
      </c>
      <c r="CY1387" s="26"/>
      <c r="CZ1387" s="12"/>
      <c r="DA1387" s="9"/>
      <c r="DB1387" s="10"/>
      <c r="DC1387" s="64"/>
      <c r="DD1387" s="22"/>
    </row>
    <row r="1388" spans="1:108" s="119" customFormat="1" ht="156" outlineLevel="2">
      <c r="A1388" s="178">
        <v>40382</v>
      </c>
      <c r="B1388" s="82" t="s">
        <v>1217</v>
      </c>
      <c r="C1388" s="82" t="s">
        <v>1229</v>
      </c>
      <c r="D1388" s="165" t="s">
        <v>1262</v>
      </c>
      <c r="E1388" s="167"/>
      <c r="F1388" s="66"/>
      <c r="G1388" s="66"/>
      <c r="H1388" s="66">
        <v>26114</v>
      </c>
      <c r="I1388" s="66">
        <v>7205</v>
      </c>
      <c r="J1388" s="66"/>
      <c r="K1388" s="66"/>
      <c r="L1388" s="66"/>
      <c r="M1388" s="66"/>
      <c r="N1388" s="66"/>
      <c r="O1388" s="66"/>
      <c r="P1388" s="66"/>
      <c r="Q1388" s="66"/>
      <c r="R1388" s="66"/>
      <c r="S1388" s="66"/>
      <c r="T1388" s="67">
        <v>5645</v>
      </c>
      <c r="U1388" s="151"/>
      <c r="V1388" s="1">
        <v>40396</v>
      </c>
      <c r="W1388" s="68">
        <f t="shared" si="344"/>
        <v>82069000</v>
      </c>
      <c r="X1388" s="68">
        <f t="shared" si="345"/>
        <v>952425000</v>
      </c>
      <c r="Y1388" s="68">
        <f t="shared" si="346"/>
        <v>0</v>
      </c>
      <c r="Z1388" s="68">
        <f t="shared" si="347"/>
        <v>0</v>
      </c>
      <c r="AA1388" s="68">
        <v>11460800</v>
      </c>
      <c r="AB1388" s="68">
        <v>150000000</v>
      </c>
      <c r="AC1388" s="69">
        <f t="shared" si="348"/>
        <v>1195954800</v>
      </c>
      <c r="AD1388" s="70">
        <v>0</v>
      </c>
      <c r="AE1388" s="63">
        <v>40385</v>
      </c>
      <c r="AF1388" s="72">
        <v>31965</v>
      </c>
      <c r="AG1388" s="63" t="s">
        <v>954</v>
      </c>
      <c r="AH1388" s="23" t="s">
        <v>955</v>
      </c>
      <c r="AI1388" s="75" t="s">
        <v>2091</v>
      </c>
      <c r="AJ1388" s="133" t="s">
        <v>1476</v>
      </c>
      <c r="AK1388" s="73" t="s">
        <v>1507</v>
      </c>
      <c r="AL1388" s="3"/>
      <c r="AM1388" s="4"/>
      <c r="AN1388" s="5"/>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v>15</v>
      </c>
      <c r="BY1388" s="4">
        <f>15*504600</f>
        <v>7569000</v>
      </c>
      <c r="BZ1388" s="4"/>
      <c r="CA1388" s="4"/>
      <c r="CB1388" s="4"/>
      <c r="CC1388" s="4"/>
      <c r="CD1388" s="4"/>
      <c r="CE1388" s="4"/>
      <c r="CF1388" s="4"/>
      <c r="CG1388" s="4"/>
      <c r="CH1388" s="4"/>
      <c r="CI1388" s="4"/>
      <c r="CJ1388" s="4"/>
      <c r="CK1388" s="4"/>
      <c r="CL1388" s="4"/>
      <c r="CM1388" s="4"/>
      <c r="CN1388" s="6">
        <v>1000</v>
      </c>
      <c r="CO1388" s="7">
        <f>1000*38500</f>
        <v>38500000</v>
      </c>
      <c r="CP1388" s="6">
        <v>1000</v>
      </c>
      <c r="CQ1388" s="7">
        <f>1000*36000</f>
        <v>36000000</v>
      </c>
      <c r="CR1388" s="6"/>
      <c r="CS1388" s="7"/>
      <c r="CT1388" s="8">
        <f t="shared" si="349"/>
        <v>82069000</v>
      </c>
      <c r="CU1388" s="9"/>
      <c r="CV1388" s="10"/>
      <c r="CW1388" s="11">
        <f>1000+3000+7205</f>
        <v>11205</v>
      </c>
      <c r="CX1388" s="12">
        <f>1000*85000+3000*85000+7205*85000</f>
        <v>952425000</v>
      </c>
      <c r="CY1388" s="26"/>
      <c r="CZ1388" s="12"/>
      <c r="DA1388" s="9"/>
      <c r="DB1388" s="10"/>
      <c r="DC1388" s="64">
        <v>2</v>
      </c>
      <c r="DD1388" s="22"/>
    </row>
    <row r="1389" spans="1:108" s="119" customFormat="1" ht="24" outlineLevel="2">
      <c r="A1389" s="178">
        <v>40392</v>
      </c>
      <c r="B1389" s="82" t="s">
        <v>1217</v>
      </c>
      <c r="C1389" s="82" t="s">
        <v>1230</v>
      </c>
      <c r="D1389" s="165" t="s">
        <v>1262</v>
      </c>
      <c r="E1389" s="167"/>
      <c r="F1389" s="66"/>
      <c r="G1389" s="66"/>
      <c r="H1389" s="66">
        <v>1750</v>
      </c>
      <c r="I1389" s="66">
        <v>350</v>
      </c>
      <c r="J1389" s="66"/>
      <c r="K1389" s="66">
        <v>350</v>
      </c>
      <c r="L1389" s="66"/>
      <c r="M1389" s="66"/>
      <c r="N1389" s="66"/>
      <c r="O1389" s="66"/>
      <c r="P1389" s="66"/>
      <c r="Q1389" s="66"/>
      <c r="R1389" s="66"/>
      <c r="S1389" s="66"/>
      <c r="T1389" s="67"/>
      <c r="U1389" s="151"/>
      <c r="V1389" s="1">
        <v>40429</v>
      </c>
      <c r="W1389" s="68">
        <f t="shared" si="344"/>
        <v>33075000</v>
      </c>
      <c r="X1389" s="68">
        <f t="shared" si="345"/>
        <v>51000000</v>
      </c>
      <c r="Y1389" s="68">
        <f t="shared" si="346"/>
        <v>0</v>
      </c>
      <c r="Z1389" s="68">
        <f t="shared" si="347"/>
        <v>0</v>
      </c>
      <c r="AA1389" s="68"/>
      <c r="AB1389" s="68">
        <v>0</v>
      </c>
      <c r="AC1389" s="69">
        <f t="shared" si="348"/>
        <v>84075000</v>
      </c>
      <c r="AD1389" s="70">
        <v>0</v>
      </c>
      <c r="AE1389" s="63">
        <v>40409</v>
      </c>
      <c r="AF1389" s="72">
        <v>41943</v>
      </c>
      <c r="AG1389" s="63" t="s">
        <v>954</v>
      </c>
      <c r="AH1389" s="23" t="s">
        <v>955</v>
      </c>
      <c r="AI1389" s="60"/>
      <c r="AJ1389" s="133" t="s">
        <v>1746</v>
      </c>
      <c r="AK1389" s="73" t="s">
        <v>1501</v>
      </c>
      <c r="AL1389" s="3"/>
      <c r="AM1389" s="4"/>
      <c r="AN1389" s="5"/>
      <c r="AO1389" s="4"/>
      <c r="AP1389" s="4"/>
      <c r="AQ1389" s="4"/>
      <c r="AR1389" s="4"/>
      <c r="AS1389" s="4"/>
      <c r="AT1389" s="4"/>
      <c r="AU1389" s="4"/>
      <c r="AV1389" s="4"/>
      <c r="AW1389" s="4"/>
      <c r="AX1389" s="4"/>
      <c r="AY1389" s="4"/>
      <c r="AZ1389" s="4">
        <v>350</v>
      </c>
      <c r="BA1389" s="4">
        <f>350*56000</f>
        <v>19600000</v>
      </c>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6">
        <v>350</v>
      </c>
      <c r="CO1389" s="7">
        <f>350*38500</f>
        <v>13475000</v>
      </c>
      <c r="CP1389" s="6"/>
      <c r="CQ1389" s="7"/>
      <c r="CR1389" s="6"/>
      <c r="CS1389" s="7"/>
      <c r="CT1389" s="8">
        <f t="shared" si="349"/>
        <v>33075000</v>
      </c>
      <c r="CU1389" s="9"/>
      <c r="CV1389" s="10"/>
      <c r="CW1389" s="11">
        <f>350+250</f>
        <v>600</v>
      </c>
      <c r="CX1389" s="12">
        <f>350*85000+250*85000</f>
        <v>51000000</v>
      </c>
      <c r="CY1389" s="26"/>
      <c r="CZ1389" s="12"/>
      <c r="DA1389" s="9"/>
      <c r="DB1389" s="10"/>
      <c r="DC1389" s="64"/>
      <c r="DD1389" s="22">
        <v>1201</v>
      </c>
    </row>
    <row r="1390" spans="1:108" s="119" customFormat="1" ht="84" outlineLevel="2">
      <c r="A1390" s="178">
        <v>40393</v>
      </c>
      <c r="B1390" s="82" t="s">
        <v>1217</v>
      </c>
      <c r="C1390" s="82" t="s">
        <v>1488</v>
      </c>
      <c r="D1390" s="165" t="s">
        <v>1262</v>
      </c>
      <c r="E1390" s="167"/>
      <c r="F1390" s="66"/>
      <c r="G1390" s="66"/>
      <c r="H1390" s="66">
        <v>1125</v>
      </c>
      <c r="I1390" s="66">
        <v>225</v>
      </c>
      <c r="J1390" s="66"/>
      <c r="K1390" s="66">
        <v>225</v>
      </c>
      <c r="L1390" s="66"/>
      <c r="M1390" s="66"/>
      <c r="N1390" s="66"/>
      <c r="O1390" s="66"/>
      <c r="P1390" s="66"/>
      <c r="Q1390" s="66">
        <v>1</v>
      </c>
      <c r="R1390" s="66"/>
      <c r="S1390" s="66"/>
      <c r="T1390" s="67"/>
      <c r="U1390" s="151"/>
      <c r="V1390" s="1">
        <v>40452</v>
      </c>
      <c r="W1390" s="68">
        <f t="shared" si="344"/>
        <v>8325000</v>
      </c>
      <c r="X1390" s="68">
        <f t="shared" si="345"/>
        <v>37400000</v>
      </c>
      <c r="Y1390" s="68">
        <f t="shared" si="346"/>
        <v>0</v>
      </c>
      <c r="Z1390" s="68">
        <f t="shared" si="347"/>
        <v>0</v>
      </c>
      <c r="AA1390" s="68"/>
      <c r="AB1390" s="68">
        <v>0</v>
      </c>
      <c r="AC1390" s="69">
        <f t="shared" si="348"/>
        <v>45725000</v>
      </c>
      <c r="AD1390" s="70">
        <v>0</v>
      </c>
      <c r="AE1390" s="63">
        <v>40394</v>
      </c>
      <c r="AF1390" s="72">
        <v>43395</v>
      </c>
      <c r="AG1390" s="63" t="s">
        <v>954</v>
      </c>
      <c r="AH1390" s="23" t="s">
        <v>955</v>
      </c>
      <c r="AI1390" s="60">
        <v>20539</v>
      </c>
      <c r="AJ1390" s="133" t="s">
        <v>1746</v>
      </c>
      <c r="AK1390" s="73" t="s">
        <v>1836</v>
      </c>
      <c r="AL1390" s="3"/>
      <c r="AM1390" s="4"/>
      <c r="AN1390" s="5"/>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6">
        <v>225</v>
      </c>
      <c r="CO1390" s="7">
        <f>225*37000</f>
        <v>8325000</v>
      </c>
      <c r="CP1390" s="6"/>
      <c r="CQ1390" s="7"/>
      <c r="CR1390" s="6"/>
      <c r="CS1390" s="7"/>
      <c r="CT1390" s="8">
        <f t="shared" si="349"/>
        <v>8325000</v>
      </c>
      <c r="CU1390" s="9"/>
      <c r="CV1390" s="10"/>
      <c r="CW1390" s="11">
        <f>225+215</f>
        <v>440</v>
      </c>
      <c r="CX1390" s="12">
        <f>225*85000+215*85000</f>
        <v>37400000</v>
      </c>
      <c r="CY1390" s="26"/>
      <c r="CZ1390" s="12"/>
      <c r="DA1390" s="9"/>
      <c r="DB1390" s="10"/>
      <c r="DC1390" s="64"/>
      <c r="DD1390" s="22"/>
    </row>
    <row r="1391" spans="1:108" s="119" customFormat="1" ht="36" outlineLevel="2">
      <c r="A1391" s="178">
        <v>40395</v>
      </c>
      <c r="B1391" s="164" t="s">
        <v>1217</v>
      </c>
      <c r="C1391" s="164" t="s">
        <v>2090</v>
      </c>
      <c r="D1391" s="166" t="s">
        <v>1262</v>
      </c>
      <c r="E1391" s="163"/>
      <c r="F1391" s="105"/>
      <c r="G1391" s="105"/>
      <c r="H1391" s="105">
        <v>500</v>
      </c>
      <c r="I1391" s="105">
        <v>172</v>
      </c>
      <c r="J1391" s="105"/>
      <c r="K1391" s="105"/>
      <c r="L1391" s="105"/>
      <c r="M1391" s="105"/>
      <c r="N1391" s="105"/>
      <c r="O1391" s="105"/>
      <c r="P1391" s="105"/>
      <c r="Q1391" s="105"/>
      <c r="R1391" s="105"/>
      <c r="S1391" s="105"/>
      <c r="T1391" s="106"/>
      <c r="U1391" s="130"/>
      <c r="V1391" s="1">
        <v>40487</v>
      </c>
      <c r="W1391" s="68">
        <f t="shared" si="344"/>
        <v>46476000</v>
      </c>
      <c r="X1391" s="68">
        <f t="shared" si="345"/>
        <v>104890000</v>
      </c>
      <c r="Y1391" s="68">
        <f t="shared" si="346"/>
        <v>0</v>
      </c>
      <c r="Z1391" s="68">
        <f t="shared" si="347"/>
        <v>0</v>
      </c>
      <c r="AA1391" s="68"/>
      <c r="AB1391" s="68">
        <v>0</v>
      </c>
      <c r="AC1391" s="69">
        <f t="shared" si="348"/>
        <v>151366000</v>
      </c>
      <c r="AD1391" s="70">
        <v>0</v>
      </c>
      <c r="AE1391" s="63">
        <v>40441</v>
      </c>
      <c r="AF1391" s="79" t="s">
        <v>408</v>
      </c>
      <c r="AG1391" s="63" t="s">
        <v>954</v>
      </c>
      <c r="AH1391" s="23" t="s">
        <v>955</v>
      </c>
      <c r="AI1391" s="60">
        <v>23551</v>
      </c>
      <c r="AJ1391" s="124" t="s">
        <v>1476</v>
      </c>
      <c r="AK1391" s="121" t="s">
        <v>1293</v>
      </c>
      <c r="AL1391" s="107"/>
      <c r="AM1391" s="108"/>
      <c r="AN1391" s="109"/>
      <c r="AO1391" s="108"/>
      <c r="AP1391" s="108"/>
      <c r="AQ1391" s="108"/>
      <c r="AR1391" s="108"/>
      <c r="AS1391" s="108"/>
      <c r="AT1391" s="108"/>
      <c r="AU1391" s="108"/>
      <c r="AV1391" s="108"/>
      <c r="AW1391" s="108"/>
      <c r="AX1391" s="108"/>
      <c r="AY1391" s="108"/>
      <c r="AZ1391" s="108">
        <v>500</v>
      </c>
      <c r="BA1391" s="108">
        <f>500*56000</f>
        <v>28000000</v>
      </c>
      <c r="BB1391" s="108"/>
      <c r="BC1391" s="108"/>
      <c r="BD1391" s="108"/>
      <c r="BE1391" s="108"/>
      <c r="BF1391" s="108"/>
      <c r="BG1391" s="108"/>
      <c r="BH1391" s="108"/>
      <c r="BI1391" s="108"/>
      <c r="BJ1391" s="108"/>
      <c r="BK1391" s="108"/>
      <c r="BL1391" s="108"/>
      <c r="BM1391" s="108"/>
      <c r="BN1391" s="108"/>
      <c r="BO1391" s="108"/>
      <c r="BP1391" s="108"/>
      <c r="BQ1391" s="108"/>
      <c r="BR1391" s="108"/>
      <c r="BS1391" s="108"/>
      <c r="BT1391" s="108"/>
      <c r="BU1391" s="108"/>
      <c r="BV1391" s="108"/>
      <c r="BW1391" s="108"/>
      <c r="BX1391" s="108"/>
      <c r="BY1391" s="108"/>
      <c r="BZ1391" s="108"/>
      <c r="CA1391" s="108"/>
      <c r="CB1391" s="108"/>
      <c r="CC1391" s="108"/>
      <c r="CD1391" s="108"/>
      <c r="CE1391" s="108"/>
      <c r="CF1391" s="108"/>
      <c r="CG1391" s="108"/>
      <c r="CH1391" s="108"/>
      <c r="CI1391" s="108"/>
      <c r="CJ1391" s="108"/>
      <c r="CK1391" s="108"/>
      <c r="CL1391" s="108"/>
      <c r="CM1391" s="108"/>
      <c r="CN1391" s="110">
        <v>500</v>
      </c>
      <c r="CO1391" s="111">
        <f>500*36952</f>
        <v>18476000</v>
      </c>
      <c r="CP1391" s="110"/>
      <c r="CQ1391" s="111"/>
      <c r="CR1391" s="110"/>
      <c r="CS1391" s="111"/>
      <c r="CT1391" s="112">
        <f t="shared" si="349"/>
        <v>46476000</v>
      </c>
      <c r="CU1391" s="113"/>
      <c r="CV1391" s="114"/>
      <c r="CW1391" s="115">
        <f>734+500</f>
        <v>1234</v>
      </c>
      <c r="CX1391" s="116">
        <f>734*85000+500*85000</f>
        <v>104890000</v>
      </c>
      <c r="CY1391" s="117"/>
      <c r="CZ1391" s="116"/>
      <c r="DA1391" s="113"/>
      <c r="DB1391" s="114"/>
      <c r="DC1391" s="64"/>
      <c r="DD1391" s="118"/>
    </row>
    <row r="1392" spans="1:108" s="119" customFormat="1" ht="22.5" outlineLevel="2">
      <c r="A1392" s="178">
        <v>40400</v>
      </c>
      <c r="B1392" s="174" t="s">
        <v>1217</v>
      </c>
      <c r="C1392" s="174" t="s">
        <v>953</v>
      </c>
      <c r="D1392" s="179" t="s">
        <v>1262</v>
      </c>
      <c r="E1392" s="163"/>
      <c r="F1392" s="105"/>
      <c r="G1392" s="105"/>
      <c r="H1392" s="105"/>
      <c r="I1392" s="105"/>
      <c r="J1392" s="105"/>
      <c r="K1392" s="105"/>
      <c r="L1392" s="105"/>
      <c r="M1392" s="105"/>
      <c r="N1392" s="105"/>
      <c r="O1392" s="105"/>
      <c r="P1392" s="105"/>
      <c r="Q1392" s="105"/>
      <c r="R1392" s="105"/>
      <c r="S1392" s="105"/>
      <c r="T1392" s="106"/>
      <c r="U1392" s="130"/>
      <c r="V1392" s="1">
        <v>40452</v>
      </c>
      <c r="W1392" s="68">
        <f t="shared" si="344"/>
        <v>0</v>
      </c>
      <c r="X1392" s="68">
        <f t="shared" si="345"/>
        <v>0</v>
      </c>
      <c r="Y1392" s="68">
        <f t="shared" si="346"/>
        <v>0</v>
      </c>
      <c r="Z1392" s="68">
        <f t="shared" si="347"/>
        <v>126000000</v>
      </c>
      <c r="AA1392" s="68"/>
      <c r="AB1392" s="68">
        <v>0</v>
      </c>
      <c r="AC1392" s="69">
        <f t="shared" si="348"/>
        <v>126000000</v>
      </c>
      <c r="AD1392" s="70">
        <v>0</v>
      </c>
      <c r="AE1392" s="63">
        <v>40427</v>
      </c>
      <c r="AF1392" s="72">
        <v>46018</v>
      </c>
      <c r="AG1392" s="63" t="s">
        <v>954</v>
      </c>
      <c r="AH1392" s="23" t="s">
        <v>955</v>
      </c>
      <c r="AI1392" s="75" t="s">
        <v>1805</v>
      </c>
      <c r="AJ1392" s="124" t="s">
        <v>756</v>
      </c>
      <c r="AK1392" s="121" t="s">
        <v>2239</v>
      </c>
      <c r="AL1392" s="107"/>
      <c r="AM1392" s="108"/>
      <c r="AN1392" s="109"/>
      <c r="AO1392" s="108"/>
      <c r="AP1392" s="108"/>
      <c r="AQ1392" s="108"/>
      <c r="AR1392" s="108"/>
      <c r="AS1392" s="108"/>
      <c r="AT1392" s="108"/>
      <c r="AU1392" s="108"/>
      <c r="AV1392" s="108"/>
      <c r="AW1392" s="108"/>
      <c r="AX1392" s="108"/>
      <c r="AY1392" s="108"/>
      <c r="AZ1392" s="108"/>
      <c r="BA1392" s="108"/>
      <c r="BB1392" s="108"/>
      <c r="BC1392" s="108"/>
      <c r="BD1392" s="108"/>
      <c r="BE1392" s="108"/>
      <c r="BF1392" s="108"/>
      <c r="BG1392" s="108"/>
      <c r="BH1392" s="108"/>
      <c r="BI1392" s="108"/>
      <c r="BJ1392" s="108"/>
      <c r="BK1392" s="108"/>
      <c r="BL1392" s="108"/>
      <c r="BM1392" s="108"/>
      <c r="BN1392" s="108"/>
      <c r="BO1392" s="108"/>
      <c r="BP1392" s="108"/>
      <c r="BQ1392" s="108"/>
      <c r="BR1392" s="108"/>
      <c r="BS1392" s="108"/>
      <c r="BT1392" s="108"/>
      <c r="BU1392" s="108"/>
      <c r="BV1392" s="108"/>
      <c r="BW1392" s="108"/>
      <c r="BX1392" s="108"/>
      <c r="BY1392" s="108"/>
      <c r="BZ1392" s="108"/>
      <c r="CA1392" s="108"/>
      <c r="CB1392" s="108"/>
      <c r="CC1392" s="108"/>
      <c r="CD1392" s="108"/>
      <c r="CE1392" s="108"/>
      <c r="CF1392" s="108"/>
      <c r="CG1392" s="108"/>
      <c r="CH1392" s="108"/>
      <c r="CI1392" s="108"/>
      <c r="CJ1392" s="108"/>
      <c r="CK1392" s="108"/>
      <c r="CL1392" s="108"/>
      <c r="CM1392" s="108"/>
      <c r="CN1392" s="110"/>
      <c r="CO1392" s="111"/>
      <c r="CP1392" s="110"/>
      <c r="CQ1392" s="111"/>
      <c r="CR1392" s="110"/>
      <c r="CS1392" s="111"/>
      <c r="CT1392" s="112">
        <f t="shared" si="349"/>
        <v>0</v>
      </c>
      <c r="CU1392" s="113">
        <f>70000+70000</f>
        <v>140000</v>
      </c>
      <c r="CV1392" s="114">
        <f>70000*900+70000*900</f>
        <v>126000000</v>
      </c>
      <c r="CW1392" s="115"/>
      <c r="CX1392" s="116"/>
      <c r="CY1392" s="117"/>
      <c r="CZ1392" s="116"/>
      <c r="DA1392" s="113"/>
      <c r="DB1392" s="114"/>
      <c r="DC1392" s="64"/>
      <c r="DD1392" s="118"/>
    </row>
    <row r="1393" spans="1:108" s="119" customFormat="1" ht="48" outlineLevel="2">
      <c r="A1393" s="178">
        <v>40422</v>
      </c>
      <c r="B1393" s="174" t="s">
        <v>1217</v>
      </c>
      <c r="C1393" s="174" t="s">
        <v>444</v>
      </c>
      <c r="D1393" s="179" t="s">
        <v>1262</v>
      </c>
      <c r="E1393" s="163"/>
      <c r="F1393" s="105"/>
      <c r="G1393" s="105"/>
      <c r="H1393" s="105"/>
      <c r="I1393" s="105"/>
      <c r="J1393" s="105"/>
      <c r="K1393" s="105"/>
      <c r="L1393" s="105"/>
      <c r="M1393" s="105"/>
      <c r="N1393" s="105"/>
      <c r="O1393" s="105"/>
      <c r="P1393" s="105"/>
      <c r="Q1393" s="105"/>
      <c r="R1393" s="105"/>
      <c r="S1393" s="105"/>
      <c r="T1393" s="106"/>
      <c r="U1393" s="130"/>
      <c r="V1393" s="1">
        <v>40476</v>
      </c>
      <c r="W1393" s="68">
        <f t="shared" si="344"/>
        <v>0</v>
      </c>
      <c r="X1393" s="68">
        <f t="shared" si="345"/>
        <v>102000000</v>
      </c>
      <c r="Y1393" s="68">
        <f t="shared" si="346"/>
        <v>0</v>
      </c>
      <c r="Z1393" s="68">
        <f t="shared" si="347"/>
        <v>0</v>
      </c>
      <c r="AA1393" s="68"/>
      <c r="AB1393" s="68">
        <v>0</v>
      </c>
      <c r="AC1393" s="69">
        <f t="shared" si="348"/>
        <v>102000000</v>
      </c>
      <c r="AD1393" s="70">
        <v>0</v>
      </c>
      <c r="AE1393" s="63">
        <v>40424</v>
      </c>
      <c r="AF1393" s="72">
        <v>45638</v>
      </c>
      <c r="AG1393" s="63" t="s">
        <v>954</v>
      </c>
      <c r="AH1393" s="23" t="s">
        <v>955</v>
      </c>
      <c r="AI1393" s="60">
        <v>22651</v>
      </c>
      <c r="AJ1393" s="124" t="s">
        <v>1476</v>
      </c>
      <c r="AK1393" s="121" t="s">
        <v>1803</v>
      </c>
      <c r="AL1393" s="107"/>
      <c r="AM1393" s="108"/>
      <c r="AN1393" s="109"/>
      <c r="AO1393" s="108"/>
      <c r="AP1393" s="108"/>
      <c r="AQ1393" s="108"/>
      <c r="AR1393" s="108"/>
      <c r="AS1393" s="108"/>
      <c r="AT1393" s="108"/>
      <c r="AU1393" s="108"/>
      <c r="AV1393" s="108"/>
      <c r="AW1393" s="108"/>
      <c r="AX1393" s="108"/>
      <c r="AY1393" s="108"/>
      <c r="AZ1393" s="108"/>
      <c r="BA1393" s="108"/>
      <c r="BB1393" s="108"/>
      <c r="BC1393" s="108"/>
      <c r="BD1393" s="108"/>
      <c r="BE1393" s="108"/>
      <c r="BF1393" s="108"/>
      <c r="BG1393" s="108"/>
      <c r="BH1393" s="108"/>
      <c r="BI1393" s="108"/>
      <c r="BJ1393" s="108"/>
      <c r="BK1393" s="108"/>
      <c r="BL1393" s="108"/>
      <c r="BM1393" s="108"/>
      <c r="BN1393" s="108"/>
      <c r="BO1393" s="108"/>
      <c r="BP1393" s="108"/>
      <c r="BQ1393" s="108"/>
      <c r="BR1393" s="108"/>
      <c r="BS1393" s="108"/>
      <c r="BT1393" s="108"/>
      <c r="BU1393" s="108"/>
      <c r="BV1393" s="108"/>
      <c r="BW1393" s="108"/>
      <c r="BX1393" s="108"/>
      <c r="BY1393" s="108"/>
      <c r="BZ1393" s="108"/>
      <c r="CA1393" s="108"/>
      <c r="CB1393" s="108"/>
      <c r="CC1393" s="108"/>
      <c r="CD1393" s="108"/>
      <c r="CE1393" s="108"/>
      <c r="CF1393" s="108"/>
      <c r="CG1393" s="108"/>
      <c r="CH1393" s="108"/>
      <c r="CI1393" s="108"/>
      <c r="CJ1393" s="108"/>
      <c r="CK1393" s="108"/>
      <c r="CL1393" s="108"/>
      <c r="CM1393" s="108"/>
      <c r="CN1393" s="110"/>
      <c r="CO1393" s="111"/>
      <c r="CP1393" s="110"/>
      <c r="CQ1393" s="111"/>
      <c r="CR1393" s="110"/>
      <c r="CS1393" s="111"/>
      <c r="CT1393" s="112">
        <f t="shared" si="349"/>
        <v>0</v>
      </c>
      <c r="CU1393" s="113"/>
      <c r="CV1393" s="114"/>
      <c r="CW1393" s="115">
        <v>1200</v>
      </c>
      <c r="CX1393" s="116">
        <f>1200*85000</f>
        <v>102000000</v>
      </c>
      <c r="CY1393" s="117"/>
      <c r="CZ1393" s="116"/>
      <c r="DA1393" s="113"/>
      <c r="DB1393" s="114"/>
      <c r="DC1393" s="64"/>
      <c r="DD1393" s="118"/>
    </row>
    <row r="1394" spans="1:108" s="119" customFormat="1" ht="36" outlineLevel="2">
      <c r="A1394" s="178">
        <v>40425</v>
      </c>
      <c r="B1394" s="174" t="s">
        <v>1217</v>
      </c>
      <c r="C1394" s="174" t="s">
        <v>1075</v>
      </c>
      <c r="D1394" s="179" t="s">
        <v>435</v>
      </c>
      <c r="E1394" s="163"/>
      <c r="F1394" s="105"/>
      <c r="G1394" s="105"/>
      <c r="H1394" s="105">
        <v>300</v>
      </c>
      <c r="I1394" s="105">
        <v>75</v>
      </c>
      <c r="J1394" s="105"/>
      <c r="K1394" s="105">
        <v>60</v>
      </c>
      <c r="L1394" s="105"/>
      <c r="M1394" s="105"/>
      <c r="N1394" s="105"/>
      <c r="O1394" s="105"/>
      <c r="P1394" s="105"/>
      <c r="Q1394" s="105"/>
      <c r="R1394" s="105"/>
      <c r="S1394" s="105"/>
      <c r="T1394" s="106"/>
      <c r="U1394" s="130"/>
      <c r="V1394" s="1">
        <v>40487</v>
      </c>
      <c r="W1394" s="68">
        <f t="shared" si="344"/>
        <v>0</v>
      </c>
      <c r="X1394" s="68">
        <f t="shared" si="345"/>
        <v>0</v>
      </c>
      <c r="Y1394" s="68">
        <f t="shared" si="346"/>
        <v>25305600</v>
      </c>
      <c r="Z1394" s="68">
        <f t="shared" si="347"/>
        <v>0</v>
      </c>
      <c r="AA1394" s="68"/>
      <c r="AB1394" s="68">
        <v>0</v>
      </c>
      <c r="AC1394" s="69">
        <f t="shared" si="348"/>
        <v>25305600</v>
      </c>
      <c r="AD1394" s="70">
        <v>0</v>
      </c>
      <c r="AE1394" s="63">
        <v>40428</v>
      </c>
      <c r="AF1394" s="72">
        <v>46609</v>
      </c>
      <c r="AG1394" s="63" t="s">
        <v>954</v>
      </c>
      <c r="AH1394" s="23" t="s">
        <v>955</v>
      </c>
      <c r="AI1394" s="60">
        <v>23551</v>
      </c>
      <c r="AJ1394" s="124" t="s">
        <v>1476</v>
      </c>
      <c r="AK1394" s="121" t="s">
        <v>1737</v>
      </c>
      <c r="AL1394" s="107"/>
      <c r="AM1394" s="108"/>
      <c r="AN1394" s="109"/>
      <c r="AO1394" s="108"/>
      <c r="AP1394" s="108"/>
      <c r="AQ1394" s="108"/>
      <c r="AR1394" s="108"/>
      <c r="AS1394" s="108"/>
      <c r="AT1394" s="108"/>
      <c r="AU1394" s="108"/>
      <c r="AV1394" s="108"/>
      <c r="AW1394" s="108"/>
      <c r="AX1394" s="108"/>
      <c r="AY1394" s="108"/>
      <c r="AZ1394" s="108"/>
      <c r="BA1394" s="108"/>
      <c r="BB1394" s="108"/>
      <c r="BC1394" s="108"/>
      <c r="BD1394" s="108"/>
      <c r="BE1394" s="108"/>
      <c r="BF1394" s="108"/>
      <c r="BG1394" s="108"/>
      <c r="BH1394" s="108"/>
      <c r="BI1394" s="108"/>
      <c r="BJ1394" s="108"/>
      <c r="BK1394" s="108"/>
      <c r="BL1394" s="108"/>
      <c r="BM1394" s="108"/>
      <c r="BN1394" s="108"/>
      <c r="BO1394" s="108"/>
      <c r="BP1394" s="108"/>
      <c r="BQ1394" s="108"/>
      <c r="BR1394" s="108"/>
      <c r="BS1394" s="108"/>
      <c r="BT1394" s="108"/>
      <c r="BU1394" s="108"/>
      <c r="BV1394" s="108"/>
      <c r="BW1394" s="108"/>
      <c r="BX1394" s="108"/>
      <c r="BY1394" s="108"/>
      <c r="BZ1394" s="108"/>
      <c r="CA1394" s="108"/>
      <c r="CB1394" s="108"/>
      <c r="CC1394" s="108"/>
      <c r="CD1394" s="108"/>
      <c r="CE1394" s="108"/>
      <c r="CF1394" s="108"/>
      <c r="CG1394" s="108"/>
      <c r="CH1394" s="108"/>
      <c r="CI1394" s="108"/>
      <c r="CJ1394" s="108"/>
      <c r="CK1394" s="108"/>
      <c r="CL1394" s="108"/>
      <c r="CM1394" s="108"/>
      <c r="CN1394" s="110"/>
      <c r="CO1394" s="111"/>
      <c r="CP1394" s="110"/>
      <c r="CQ1394" s="111"/>
      <c r="CR1394" s="110"/>
      <c r="CS1394" s="111"/>
      <c r="CT1394" s="112">
        <f t="shared" si="349"/>
        <v>0</v>
      </c>
      <c r="CU1394" s="113"/>
      <c r="CV1394" s="114"/>
      <c r="CW1394" s="115"/>
      <c r="CX1394" s="116"/>
      <c r="CY1394" s="117"/>
      <c r="CZ1394" s="116"/>
      <c r="DA1394" s="113">
        <v>1200</v>
      </c>
      <c r="DB1394" s="114">
        <f>1200*19000+7200*348</f>
        <v>25305600</v>
      </c>
      <c r="DC1394" s="64"/>
      <c r="DD1394" s="118"/>
    </row>
    <row r="1395" spans="1:108" s="119" customFormat="1" ht="60" outlineLevel="2">
      <c r="A1395" s="178">
        <v>40425</v>
      </c>
      <c r="B1395" s="174" t="s">
        <v>1217</v>
      </c>
      <c r="C1395" s="174" t="s">
        <v>2299</v>
      </c>
      <c r="D1395" s="179" t="s">
        <v>1262</v>
      </c>
      <c r="E1395" s="163"/>
      <c r="F1395" s="105"/>
      <c r="G1395" s="105"/>
      <c r="H1395" s="105">
        <v>4120</v>
      </c>
      <c r="I1395" s="105">
        <v>1030</v>
      </c>
      <c r="J1395" s="105"/>
      <c r="K1395" s="105">
        <v>430</v>
      </c>
      <c r="L1395" s="105"/>
      <c r="M1395" s="105"/>
      <c r="N1395" s="105"/>
      <c r="O1395" s="105"/>
      <c r="P1395" s="105"/>
      <c r="Q1395" s="105"/>
      <c r="R1395" s="105"/>
      <c r="S1395" s="105"/>
      <c r="T1395" s="106"/>
      <c r="U1395" s="130"/>
      <c r="V1395" s="1">
        <v>40452</v>
      </c>
      <c r="W1395" s="68">
        <f t="shared" si="344"/>
        <v>55800000</v>
      </c>
      <c r="X1395" s="68">
        <f t="shared" si="345"/>
        <v>102000000</v>
      </c>
      <c r="Y1395" s="68">
        <f t="shared" si="346"/>
        <v>0</v>
      </c>
      <c r="Z1395" s="68">
        <f t="shared" si="347"/>
        <v>0</v>
      </c>
      <c r="AA1395" s="68"/>
      <c r="AB1395" s="68">
        <v>0</v>
      </c>
      <c r="AC1395" s="69">
        <f t="shared" si="348"/>
        <v>157800000</v>
      </c>
      <c r="AD1395" s="70">
        <v>0</v>
      </c>
      <c r="AE1395" s="63">
        <v>40428</v>
      </c>
      <c r="AF1395" s="72">
        <v>46609</v>
      </c>
      <c r="AG1395" s="63" t="s">
        <v>954</v>
      </c>
      <c r="AH1395" s="23" t="s">
        <v>955</v>
      </c>
      <c r="AI1395" s="60">
        <v>20539</v>
      </c>
      <c r="AJ1395" s="124" t="s">
        <v>1476</v>
      </c>
      <c r="AK1395" s="121" t="s">
        <v>1733</v>
      </c>
      <c r="AL1395" s="107"/>
      <c r="AM1395" s="108"/>
      <c r="AN1395" s="109"/>
      <c r="AO1395" s="108"/>
      <c r="AP1395" s="108"/>
      <c r="AQ1395" s="108"/>
      <c r="AR1395" s="108"/>
      <c r="AS1395" s="108"/>
      <c r="AT1395" s="108"/>
      <c r="AU1395" s="108"/>
      <c r="AV1395" s="108"/>
      <c r="AW1395" s="108"/>
      <c r="AX1395" s="108">
        <v>600</v>
      </c>
      <c r="AY1395" s="108">
        <f>600*56000</f>
        <v>33600000</v>
      </c>
      <c r="AZ1395" s="108"/>
      <c r="BA1395" s="108"/>
      <c r="BB1395" s="108"/>
      <c r="BC1395" s="108"/>
      <c r="BD1395" s="108"/>
      <c r="BE1395" s="108"/>
      <c r="BF1395" s="108"/>
      <c r="BG1395" s="108"/>
      <c r="BH1395" s="108"/>
      <c r="BI1395" s="108"/>
      <c r="BJ1395" s="108"/>
      <c r="BK1395" s="108"/>
      <c r="BL1395" s="108"/>
      <c r="BM1395" s="108"/>
      <c r="BN1395" s="108"/>
      <c r="BO1395" s="108"/>
      <c r="BP1395" s="108"/>
      <c r="BQ1395" s="108"/>
      <c r="BR1395" s="108"/>
      <c r="BS1395" s="108"/>
      <c r="BT1395" s="108"/>
      <c r="BU1395" s="108"/>
      <c r="BV1395" s="108"/>
      <c r="BW1395" s="108"/>
      <c r="BX1395" s="108"/>
      <c r="BY1395" s="108"/>
      <c r="BZ1395" s="108"/>
      <c r="CA1395" s="108"/>
      <c r="CB1395" s="108"/>
      <c r="CC1395" s="108"/>
      <c r="CD1395" s="108"/>
      <c r="CE1395" s="108"/>
      <c r="CF1395" s="108"/>
      <c r="CG1395" s="108"/>
      <c r="CH1395" s="108"/>
      <c r="CI1395" s="108"/>
      <c r="CJ1395" s="108"/>
      <c r="CK1395" s="108"/>
      <c r="CL1395" s="108"/>
      <c r="CM1395" s="108"/>
      <c r="CN1395" s="110">
        <v>600</v>
      </c>
      <c r="CO1395" s="111">
        <f>600*37000</f>
        <v>22200000</v>
      </c>
      <c r="CP1395" s="110"/>
      <c r="CQ1395" s="111"/>
      <c r="CR1395" s="110"/>
      <c r="CS1395" s="111"/>
      <c r="CT1395" s="112">
        <f t="shared" si="349"/>
        <v>55800000</v>
      </c>
      <c r="CU1395" s="113"/>
      <c r="CV1395" s="114"/>
      <c r="CW1395" s="115">
        <f>600+600</f>
        <v>1200</v>
      </c>
      <c r="CX1395" s="116">
        <f>600*85000+600*85000</f>
        <v>102000000</v>
      </c>
      <c r="CY1395" s="117"/>
      <c r="CZ1395" s="116"/>
      <c r="DA1395" s="113"/>
      <c r="DB1395" s="114"/>
      <c r="DC1395" s="64"/>
      <c r="DD1395" s="118"/>
    </row>
    <row r="1396" spans="1:108" s="119" customFormat="1" ht="48" outlineLevel="2">
      <c r="A1396" s="178">
        <v>40434</v>
      </c>
      <c r="B1396" s="164" t="s">
        <v>1217</v>
      </c>
      <c r="C1396" s="164" t="s">
        <v>1332</v>
      </c>
      <c r="D1396" s="166" t="s">
        <v>1262</v>
      </c>
      <c r="E1396" s="163"/>
      <c r="F1396" s="105"/>
      <c r="G1396" s="105"/>
      <c r="H1396" s="105">
        <v>900</v>
      </c>
      <c r="I1396" s="105">
        <v>250</v>
      </c>
      <c r="J1396" s="105"/>
      <c r="K1396" s="105"/>
      <c r="L1396" s="105">
        <v>1</v>
      </c>
      <c r="M1396" s="105"/>
      <c r="N1396" s="105"/>
      <c r="O1396" s="105"/>
      <c r="P1396" s="105"/>
      <c r="Q1396" s="105"/>
      <c r="R1396" s="105"/>
      <c r="S1396" s="105"/>
      <c r="T1396" s="106"/>
      <c r="U1396" s="130"/>
      <c r="V1396" s="1">
        <v>40466</v>
      </c>
      <c r="W1396" s="68">
        <f t="shared" si="344"/>
        <v>0</v>
      </c>
      <c r="X1396" s="68">
        <f t="shared" si="345"/>
        <v>21250000</v>
      </c>
      <c r="Y1396" s="68">
        <f t="shared" si="346"/>
        <v>0</v>
      </c>
      <c r="Z1396" s="68">
        <f t="shared" si="347"/>
        <v>0</v>
      </c>
      <c r="AA1396" s="68"/>
      <c r="AB1396" s="68">
        <v>300000000</v>
      </c>
      <c r="AC1396" s="69">
        <f t="shared" si="348"/>
        <v>321250000</v>
      </c>
      <c r="AD1396" s="70">
        <v>0</v>
      </c>
      <c r="AE1396" s="63">
        <v>40438</v>
      </c>
      <c r="AF1396" s="72">
        <v>49172</v>
      </c>
      <c r="AG1396" s="63" t="s">
        <v>954</v>
      </c>
      <c r="AH1396" s="23" t="s">
        <v>955</v>
      </c>
      <c r="AI1396" s="60">
        <v>476</v>
      </c>
      <c r="AJ1396" s="124" t="s">
        <v>1476</v>
      </c>
      <c r="AK1396" s="125" t="s">
        <v>820</v>
      </c>
      <c r="AL1396" s="107"/>
      <c r="AM1396" s="108"/>
      <c r="AN1396" s="109"/>
      <c r="AO1396" s="108"/>
      <c r="AP1396" s="108"/>
      <c r="AQ1396" s="108"/>
      <c r="AR1396" s="108"/>
      <c r="AS1396" s="108"/>
      <c r="AT1396" s="108"/>
      <c r="AU1396" s="108"/>
      <c r="AV1396" s="108"/>
      <c r="AW1396" s="108"/>
      <c r="AX1396" s="108"/>
      <c r="AY1396" s="108"/>
      <c r="AZ1396" s="108"/>
      <c r="BA1396" s="108"/>
      <c r="BB1396" s="108"/>
      <c r="BC1396" s="108"/>
      <c r="BD1396" s="108"/>
      <c r="BE1396" s="108"/>
      <c r="BF1396" s="108"/>
      <c r="BG1396" s="108"/>
      <c r="BH1396" s="108"/>
      <c r="BI1396" s="108"/>
      <c r="BJ1396" s="108"/>
      <c r="BK1396" s="108"/>
      <c r="BL1396" s="108"/>
      <c r="BM1396" s="108"/>
      <c r="BN1396" s="108"/>
      <c r="BO1396" s="108"/>
      <c r="BP1396" s="108"/>
      <c r="BQ1396" s="108"/>
      <c r="BR1396" s="108"/>
      <c r="BS1396" s="108"/>
      <c r="BT1396" s="108"/>
      <c r="BU1396" s="108"/>
      <c r="BV1396" s="108"/>
      <c r="BW1396" s="108"/>
      <c r="BX1396" s="108"/>
      <c r="BY1396" s="108"/>
      <c r="BZ1396" s="108"/>
      <c r="CA1396" s="108"/>
      <c r="CB1396" s="108"/>
      <c r="CC1396" s="108"/>
      <c r="CD1396" s="108"/>
      <c r="CE1396" s="108"/>
      <c r="CF1396" s="108"/>
      <c r="CG1396" s="108"/>
      <c r="CH1396" s="108"/>
      <c r="CI1396" s="108"/>
      <c r="CJ1396" s="108"/>
      <c r="CK1396" s="108"/>
      <c r="CL1396" s="108"/>
      <c r="CM1396" s="108"/>
      <c r="CN1396" s="110"/>
      <c r="CO1396" s="111"/>
      <c r="CP1396" s="110"/>
      <c r="CQ1396" s="111"/>
      <c r="CR1396" s="110"/>
      <c r="CS1396" s="111"/>
      <c r="CT1396" s="112">
        <f t="shared" si="349"/>
        <v>0</v>
      </c>
      <c r="CU1396" s="113"/>
      <c r="CV1396" s="114"/>
      <c r="CW1396" s="115">
        <v>250</v>
      </c>
      <c r="CX1396" s="116">
        <f>250*85000</f>
        <v>21250000</v>
      </c>
      <c r="CY1396" s="117"/>
      <c r="CZ1396" s="116"/>
      <c r="DA1396" s="113"/>
      <c r="DB1396" s="114"/>
      <c r="DC1396" s="64">
        <v>4</v>
      </c>
      <c r="DD1396" s="118"/>
    </row>
    <row r="1397" spans="1:108" s="119" customFormat="1" outlineLevel="2">
      <c r="A1397" s="178">
        <v>40437</v>
      </c>
      <c r="B1397" s="164" t="s">
        <v>1217</v>
      </c>
      <c r="C1397" s="164" t="s">
        <v>1332</v>
      </c>
      <c r="D1397" s="166" t="s">
        <v>1262</v>
      </c>
      <c r="E1397" s="163"/>
      <c r="F1397" s="105"/>
      <c r="G1397" s="105"/>
      <c r="H1397" s="105">
        <v>2367</v>
      </c>
      <c r="I1397" s="105">
        <v>1330</v>
      </c>
      <c r="J1397" s="105"/>
      <c r="K1397" s="105"/>
      <c r="L1397" s="105"/>
      <c r="M1397" s="105"/>
      <c r="N1397" s="105"/>
      <c r="O1397" s="105"/>
      <c r="P1397" s="105"/>
      <c r="Q1397" s="105"/>
      <c r="R1397" s="105"/>
      <c r="S1397" s="105"/>
      <c r="T1397" s="106"/>
      <c r="U1397" s="130"/>
      <c r="V1397" s="1"/>
      <c r="W1397" s="68">
        <f t="shared" si="344"/>
        <v>0</v>
      </c>
      <c r="X1397" s="68">
        <f t="shared" si="345"/>
        <v>0</v>
      </c>
      <c r="Y1397" s="68">
        <f t="shared" si="346"/>
        <v>0</v>
      </c>
      <c r="Z1397" s="68">
        <f t="shared" si="347"/>
        <v>0</v>
      </c>
      <c r="AA1397" s="68"/>
      <c r="AB1397" s="68">
        <v>0</v>
      </c>
      <c r="AC1397" s="69">
        <f t="shared" si="348"/>
        <v>0</v>
      </c>
      <c r="AD1397" s="70">
        <v>0</v>
      </c>
      <c r="AE1397" s="63"/>
      <c r="AF1397" s="72"/>
      <c r="AG1397" s="63"/>
      <c r="AH1397" s="23"/>
      <c r="AI1397" s="60"/>
      <c r="AJ1397" s="124"/>
      <c r="AK1397" s="121"/>
      <c r="AL1397" s="107"/>
      <c r="AM1397" s="108"/>
      <c r="AN1397" s="109"/>
      <c r="AO1397" s="108"/>
      <c r="AP1397" s="108"/>
      <c r="AQ1397" s="108"/>
      <c r="AR1397" s="108"/>
      <c r="AS1397" s="108"/>
      <c r="AT1397" s="108"/>
      <c r="AU1397" s="108"/>
      <c r="AV1397" s="108"/>
      <c r="AW1397" s="108"/>
      <c r="AX1397" s="108"/>
      <c r="AY1397" s="108"/>
      <c r="AZ1397" s="108"/>
      <c r="BA1397" s="108"/>
      <c r="BB1397" s="108"/>
      <c r="BC1397" s="108"/>
      <c r="BD1397" s="108"/>
      <c r="BE1397" s="108"/>
      <c r="BF1397" s="108"/>
      <c r="BG1397" s="108"/>
      <c r="BH1397" s="108"/>
      <c r="BI1397" s="108"/>
      <c r="BJ1397" s="108"/>
      <c r="BK1397" s="108"/>
      <c r="BL1397" s="108"/>
      <c r="BM1397" s="108"/>
      <c r="BN1397" s="108"/>
      <c r="BO1397" s="108"/>
      <c r="BP1397" s="108"/>
      <c r="BQ1397" s="108"/>
      <c r="BR1397" s="108"/>
      <c r="BS1397" s="108"/>
      <c r="BT1397" s="108"/>
      <c r="BU1397" s="108"/>
      <c r="BV1397" s="108"/>
      <c r="BW1397" s="108"/>
      <c r="BX1397" s="108"/>
      <c r="BY1397" s="108"/>
      <c r="BZ1397" s="108"/>
      <c r="CA1397" s="108"/>
      <c r="CB1397" s="108"/>
      <c r="CC1397" s="108"/>
      <c r="CD1397" s="108"/>
      <c r="CE1397" s="108"/>
      <c r="CF1397" s="108"/>
      <c r="CG1397" s="108"/>
      <c r="CH1397" s="108"/>
      <c r="CI1397" s="108"/>
      <c r="CJ1397" s="108"/>
      <c r="CK1397" s="108"/>
      <c r="CL1397" s="108"/>
      <c r="CM1397" s="108"/>
      <c r="CN1397" s="110"/>
      <c r="CO1397" s="111"/>
      <c r="CP1397" s="110"/>
      <c r="CQ1397" s="111"/>
      <c r="CR1397" s="110"/>
      <c r="CS1397" s="111"/>
      <c r="CT1397" s="112">
        <f t="shared" si="349"/>
        <v>0</v>
      </c>
      <c r="CU1397" s="113"/>
      <c r="CV1397" s="114"/>
      <c r="CW1397" s="115"/>
      <c r="CX1397" s="116"/>
      <c r="CY1397" s="117"/>
      <c r="CZ1397" s="116"/>
      <c r="DA1397" s="113"/>
      <c r="DB1397" s="114"/>
      <c r="DC1397" s="64"/>
      <c r="DD1397" s="118"/>
    </row>
    <row r="1398" spans="1:108" s="119" customFormat="1" ht="45" outlineLevel="2">
      <c r="A1398" s="178">
        <v>40437</v>
      </c>
      <c r="B1398" s="164" t="s">
        <v>1217</v>
      </c>
      <c r="C1398" s="164" t="s">
        <v>1303</v>
      </c>
      <c r="D1398" s="166" t="s">
        <v>1262</v>
      </c>
      <c r="E1398" s="163"/>
      <c r="F1398" s="105"/>
      <c r="G1398" s="105"/>
      <c r="H1398" s="105">
        <v>640</v>
      </c>
      <c r="I1398" s="105">
        <v>160</v>
      </c>
      <c r="J1398" s="105"/>
      <c r="K1398" s="105"/>
      <c r="L1398" s="105"/>
      <c r="M1398" s="105">
        <v>1</v>
      </c>
      <c r="N1398" s="105"/>
      <c r="O1398" s="105"/>
      <c r="P1398" s="105"/>
      <c r="Q1398" s="105"/>
      <c r="R1398" s="105"/>
      <c r="S1398" s="105"/>
      <c r="T1398" s="106"/>
      <c r="U1398" s="130"/>
      <c r="V1398" s="1"/>
      <c r="W1398" s="68">
        <f t="shared" si="344"/>
        <v>0</v>
      </c>
      <c r="X1398" s="68">
        <f t="shared" si="345"/>
        <v>13600000</v>
      </c>
      <c r="Y1398" s="68">
        <f t="shared" si="346"/>
        <v>0</v>
      </c>
      <c r="Z1398" s="68">
        <f t="shared" si="347"/>
        <v>0</v>
      </c>
      <c r="AA1398" s="68"/>
      <c r="AB1398" s="68">
        <v>0</v>
      </c>
      <c r="AC1398" s="69">
        <f t="shared" si="348"/>
        <v>13600000</v>
      </c>
      <c r="AD1398" s="70">
        <v>0</v>
      </c>
      <c r="AE1398" s="63">
        <v>40441</v>
      </c>
      <c r="AF1398" s="72"/>
      <c r="AG1398" s="63" t="s">
        <v>954</v>
      </c>
      <c r="AH1398" s="23" t="s">
        <v>955</v>
      </c>
      <c r="AI1398" s="60"/>
      <c r="AJ1398" s="133" t="s">
        <v>415</v>
      </c>
      <c r="AK1398" s="121" t="s">
        <v>1304</v>
      </c>
      <c r="AL1398" s="107"/>
      <c r="AM1398" s="108"/>
      <c r="AN1398" s="109"/>
      <c r="AO1398" s="108"/>
      <c r="AP1398" s="108"/>
      <c r="AQ1398" s="108"/>
      <c r="AR1398" s="108"/>
      <c r="AS1398" s="108"/>
      <c r="AT1398" s="108"/>
      <c r="AU1398" s="108"/>
      <c r="AV1398" s="108"/>
      <c r="AW1398" s="108"/>
      <c r="AX1398" s="108"/>
      <c r="AY1398" s="108"/>
      <c r="AZ1398" s="108"/>
      <c r="BA1398" s="108"/>
      <c r="BB1398" s="108"/>
      <c r="BC1398" s="108"/>
      <c r="BD1398" s="108"/>
      <c r="BE1398" s="108"/>
      <c r="BF1398" s="108"/>
      <c r="BG1398" s="108"/>
      <c r="BH1398" s="108"/>
      <c r="BI1398" s="108"/>
      <c r="BJ1398" s="108"/>
      <c r="BK1398" s="108"/>
      <c r="BL1398" s="108"/>
      <c r="BM1398" s="108"/>
      <c r="BN1398" s="108"/>
      <c r="BO1398" s="108"/>
      <c r="BP1398" s="108"/>
      <c r="BQ1398" s="108"/>
      <c r="BR1398" s="108"/>
      <c r="BS1398" s="108"/>
      <c r="BT1398" s="108"/>
      <c r="BU1398" s="108"/>
      <c r="BV1398" s="108"/>
      <c r="BW1398" s="108"/>
      <c r="BX1398" s="108"/>
      <c r="BY1398" s="108"/>
      <c r="BZ1398" s="108"/>
      <c r="CA1398" s="108"/>
      <c r="CB1398" s="108"/>
      <c r="CC1398" s="108"/>
      <c r="CD1398" s="108"/>
      <c r="CE1398" s="108"/>
      <c r="CF1398" s="108"/>
      <c r="CG1398" s="108"/>
      <c r="CH1398" s="108"/>
      <c r="CI1398" s="108"/>
      <c r="CJ1398" s="108"/>
      <c r="CK1398" s="108"/>
      <c r="CL1398" s="108"/>
      <c r="CM1398" s="108"/>
      <c r="CN1398" s="110"/>
      <c r="CO1398" s="111"/>
      <c r="CP1398" s="110"/>
      <c r="CQ1398" s="111"/>
      <c r="CR1398" s="110"/>
      <c r="CS1398" s="111"/>
      <c r="CT1398" s="112">
        <f t="shared" si="349"/>
        <v>0</v>
      </c>
      <c r="CU1398" s="113"/>
      <c r="CV1398" s="114"/>
      <c r="CW1398" s="115">
        <v>160</v>
      </c>
      <c r="CX1398" s="116">
        <f>160*85000</f>
        <v>13600000</v>
      </c>
      <c r="CY1398" s="117"/>
      <c r="CZ1398" s="116"/>
      <c r="DA1398" s="113"/>
      <c r="DB1398" s="114"/>
      <c r="DC1398" s="64"/>
      <c r="DD1398" s="118"/>
    </row>
    <row r="1399" spans="1:108" s="119" customFormat="1" outlineLevel="2">
      <c r="A1399" s="178">
        <v>40437</v>
      </c>
      <c r="B1399" s="164" t="s">
        <v>1217</v>
      </c>
      <c r="C1399" s="164" t="s">
        <v>2090</v>
      </c>
      <c r="D1399" s="166" t="s">
        <v>435</v>
      </c>
      <c r="E1399" s="163"/>
      <c r="F1399" s="105"/>
      <c r="G1399" s="105"/>
      <c r="H1399" s="105">
        <v>2851</v>
      </c>
      <c r="I1399" s="105">
        <v>650</v>
      </c>
      <c r="J1399" s="105"/>
      <c r="K1399" s="105">
        <v>555</v>
      </c>
      <c r="L1399" s="105"/>
      <c r="M1399" s="105"/>
      <c r="N1399" s="105"/>
      <c r="O1399" s="105"/>
      <c r="P1399" s="105"/>
      <c r="Q1399" s="105"/>
      <c r="R1399" s="105"/>
      <c r="S1399" s="105"/>
      <c r="T1399" s="106"/>
      <c r="U1399" s="130"/>
      <c r="V1399" s="1"/>
      <c r="W1399" s="68">
        <f t="shared" si="344"/>
        <v>0</v>
      </c>
      <c r="X1399" s="68">
        <f t="shared" si="345"/>
        <v>0</v>
      </c>
      <c r="Y1399" s="68">
        <f t="shared" si="346"/>
        <v>0</v>
      </c>
      <c r="Z1399" s="68">
        <f t="shared" si="347"/>
        <v>0</v>
      </c>
      <c r="AA1399" s="68"/>
      <c r="AB1399" s="68">
        <v>0</v>
      </c>
      <c r="AC1399" s="69">
        <f t="shared" si="348"/>
        <v>0</v>
      </c>
      <c r="AD1399" s="70">
        <v>0</v>
      </c>
      <c r="AE1399" s="63"/>
      <c r="AF1399" s="72"/>
      <c r="AG1399" s="63"/>
      <c r="AH1399" s="23"/>
      <c r="AI1399" s="60"/>
      <c r="AJ1399" s="124"/>
      <c r="AK1399" s="121"/>
      <c r="AL1399" s="107"/>
      <c r="AM1399" s="108"/>
      <c r="AN1399" s="109"/>
      <c r="AO1399" s="108"/>
      <c r="AP1399" s="108"/>
      <c r="AQ1399" s="108"/>
      <c r="AR1399" s="108"/>
      <c r="AS1399" s="108"/>
      <c r="AT1399" s="108"/>
      <c r="AU1399" s="108"/>
      <c r="AV1399" s="108"/>
      <c r="AW1399" s="108"/>
      <c r="AX1399" s="108"/>
      <c r="AY1399" s="108"/>
      <c r="AZ1399" s="108"/>
      <c r="BA1399" s="108"/>
      <c r="BB1399" s="108"/>
      <c r="BC1399" s="108"/>
      <c r="BD1399" s="108"/>
      <c r="BE1399" s="108"/>
      <c r="BF1399" s="108"/>
      <c r="BG1399" s="108"/>
      <c r="BH1399" s="108"/>
      <c r="BI1399" s="108"/>
      <c r="BJ1399" s="108"/>
      <c r="BK1399" s="108"/>
      <c r="BL1399" s="108"/>
      <c r="BM1399" s="108"/>
      <c r="BN1399" s="108"/>
      <c r="BO1399" s="108"/>
      <c r="BP1399" s="108"/>
      <c r="BQ1399" s="108"/>
      <c r="BR1399" s="108"/>
      <c r="BS1399" s="108"/>
      <c r="BT1399" s="108"/>
      <c r="BU1399" s="108"/>
      <c r="BV1399" s="108"/>
      <c r="BW1399" s="108"/>
      <c r="BX1399" s="108"/>
      <c r="BY1399" s="108"/>
      <c r="BZ1399" s="108"/>
      <c r="CA1399" s="108"/>
      <c r="CB1399" s="108"/>
      <c r="CC1399" s="108"/>
      <c r="CD1399" s="108"/>
      <c r="CE1399" s="108"/>
      <c r="CF1399" s="108"/>
      <c r="CG1399" s="108"/>
      <c r="CH1399" s="108"/>
      <c r="CI1399" s="108"/>
      <c r="CJ1399" s="108"/>
      <c r="CK1399" s="108"/>
      <c r="CL1399" s="108"/>
      <c r="CM1399" s="108"/>
      <c r="CN1399" s="110"/>
      <c r="CO1399" s="111"/>
      <c r="CP1399" s="110"/>
      <c r="CQ1399" s="111"/>
      <c r="CR1399" s="110"/>
      <c r="CS1399" s="111"/>
      <c r="CT1399" s="112">
        <f t="shared" si="349"/>
        <v>0</v>
      </c>
      <c r="CU1399" s="113"/>
      <c r="CV1399" s="114"/>
      <c r="CW1399" s="115"/>
      <c r="CX1399" s="116"/>
      <c r="CY1399" s="117"/>
      <c r="CZ1399" s="116"/>
      <c r="DA1399" s="113"/>
      <c r="DB1399" s="114"/>
      <c r="DC1399" s="64"/>
      <c r="DD1399" s="118"/>
    </row>
    <row r="1400" spans="1:108" s="119" customFormat="1" ht="33.75" outlineLevel="2">
      <c r="A1400" s="178">
        <v>40438</v>
      </c>
      <c r="B1400" s="164" t="s">
        <v>1217</v>
      </c>
      <c r="C1400" s="164" t="s">
        <v>953</v>
      </c>
      <c r="D1400" s="166" t="s">
        <v>1262</v>
      </c>
      <c r="E1400" s="163"/>
      <c r="F1400" s="105"/>
      <c r="G1400" s="105"/>
      <c r="H1400" s="105"/>
      <c r="I1400" s="105"/>
      <c r="J1400" s="105"/>
      <c r="K1400" s="105"/>
      <c r="L1400" s="105"/>
      <c r="M1400" s="105"/>
      <c r="N1400" s="105"/>
      <c r="O1400" s="105"/>
      <c r="P1400" s="105"/>
      <c r="Q1400" s="105"/>
      <c r="R1400" s="105"/>
      <c r="S1400" s="105"/>
      <c r="T1400" s="106"/>
      <c r="U1400" s="130"/>
      <c r="V1400" s="1">
        <v>40463</v>
      </c>
      <c r="W1400" s="68">
        <f t="shared" si="344"/>
        <v>0</v>
      </c>
      <c r="X1400" s="68">
        <f t="shared" si="345"/>
        <v>0</v>
      </c>
      <c r="Y1400" s="68">
        <f t="shared" si="346"/>
        <v>0</v>
      </c>
      <c r="Z1400" s="68">
        <f t="shared" si="347"/>
        <v>270522000</v>
      </c>
      <c r="AA1400" s="68"/>
      <c r="AB1400" s="68">
        <v>0</v>
      </c>
      <c r="AC1400" s="69">
        <f t="shared" si="348"/>
        <v>270522000</v>
      </c>
      <c r="AD1400" s="70">
        <v>0</v>
      </c>
      <c r="AE1400" s="63">
        <v>40427</v>
      </c>
      <c r="AF1400" s="72">
        <v>46020</v>
      </c>
      <c r="AG1400" s="63" t="s">
        <v>954</v>
      </c>
      <c r="AH1400" s="23" t="s">
        <v>955</v>
      </c>
      <c r="AI1400" s="75" t="s">
        <v>285</v>
      </c>
      <c r="AJ1400" s="124" t="s">
        <v>1122</v>
      </c>
      <c r="AK1400" s="121" t="s">
        <v>1337</v>
      </c>
      <c r="AL1400" s="107"/>
      <c r="AM1400" s="108"/>
      <c r="AN1400" s="109"/>
      <c r="AO1400" s="108"/>
      <c r="AP1400" s="108"/>
      <c r="AQ1400" s="108"/>
      <c r="AR1400" s="108"/>
      <c r="AS1400" s="108"/>
      <c r="AT1400" s="108"/>
      <c r="AU1400" s="108"/>
      <c r="AV1400" s="108"/>
      <c r="AW1400" s="108"/>
      <c r="AX1400" s="108"/>
      <c r="AY1400" s="108"/>
      <c r="AZ1400" s="108"/>
      <c r="BA1400" s="108"/>
      <c r="BB1400" s="108"/>
      <c r="BC1400" s="108"/>
      <c r="BD1400" s="108"/>
      <c r="BE1400" s="108"/>
      <c r="BF1400" s="108"/>
      <c r="BG1400" s="108"/>
      <c r="BH1400" s="108"/>
      <c r="BI1400" s="108"/>
      <c r="BJ1400" s="108"/>
      <c r="BK1400" s="108"/>
      <c r="BL1400" s="108"/>
      <c r="BM1400" s="108"/>
      <c r="BN1400" s="108"/>
      <c r="BO1400" s="108"/>
      <c r="BP1400" s="108"/>
      <c r="BQ1400" s="108"/>
      <c r="BR1400" s="108"/>
      <c r="BS1400" s="108"/>
      <c r="BT1400" s="108"/>
      <c r="BU1400" s="108"/>
      <c r="BV1400" s="108"/>
      <c r="BW1400" s="108"/>
      <c r="BX1400" s="108"/>
      <c r="BY1400" s="108"/>
      <c r="BZ1400" s="108"/>
      <c r="CA1400" s="108"/>
      <c r="CB1400" s="108"/>
      <c r="CC1400" s="108"/>
      <c r="CD1400" s="108"/>
      <c r="CE1400" s="108"/>
      <c r="CF1400" s="108"/>
      <c r="CG1400" s="108"/>
      <c r="CH1400" s="108"/>
      <c r="CI1400" s="108"/>
      <c r="CJ1400" s="108"/>
      <c r="CK1400" s="108"/>
      <c r="CL1400" s="108"/>
      <c r="CM1400" s="108"/>
      <c r="CN1400" s="110"/>
      <c r="CO1400" s="111"/>
      <c r="CP1400" s="110"/>
      <c r="CQ1400" s="111"/>
      <c r="CR1400" s="110"/>
      <c r="CS1400" s="111"/>
      <c r="CT1400" s="112">
        <f t="shared" si="349"/>
        <v>0</v>
      </c>
      <c r="CU1400" s="113">
        <f>50000+50000+200000</f>
        <v>300000</v>
      </c>
      <c r="CV1400" s="114">
        <f>50000*904.8+50000*905+200000*900.16</f>
        <v>270522000</v>
      </c>
      <c r="CW1400" s="115"/>
      <c r="CX1400" s="116"/>
      <c r="CY1400" s="117"/>
      <c r="CZ1400" s="116"/>
      <c r="DA1400" s="113"/>
      <c r="DB1400" s="114"/>
      <c r="DC1400" s="64"/>
      <c r="DD1400" s="118"/>
    </row>
    <row r="1401" spans="1:108" s="119" customFormat="1" ht="24" outlineLevel="2">
      <c r="A1401" s="178">
        <v>40452</v>
      </c>
      <c r="B1401" s="164" t="s">
        <v>1217</v>
      </c>
      <c r="C1401" s="164" t="s">
        <v>953</v>
      </c>
      <c r="D1401" s="166" t="s">
        <v>1262</v>
      </c>
      <c r="E1401" s="163"/>
      <c r="F1401" s="105"/>
      <c r="G1401" s="105"/>
      <c r="H1401" s="105"/>
      <c r="I1401" s="105"/>
      <c r="J1401" s="105"/>
      <c r="K1401" s="105"/>
      <c r="L1401" s="105"/>
      <c r="M1401" s="105"/>
      <c r="N1401" s="105"/>
      <c r="O1401" s="105"/>
      <c r="P1401" s="105"/>
      <c r="Q1401" s="105"/>
      <c r="R1401" s="105"/>
      <c r="S1401" s="105"/>
      <c r="T1401" s="106"/>
      <c r="U1401" s="130"/>
      <c r="V1401" s="1">
        <v>40505</v>
      </c>
      <c r="W1401" s="68">
        <f t="shared" si="344"/>
        <v>0</v>
      </c>
      <c r="X1401" s="68">
        <f t="shared" si="345"/>
        <v>0</v>
      </c>
      <c r="Y1401" s="68">
        <f t="shared" si="346"/>
        <v>0</v>
      </c>
      <c r="Z1401" s="68">
        <f t="shared" si="347"/>
        <v>325206000</v>
      </c>
      <c r="AA1401" s="68"/>
      <c r="AB1401" s="68">
        <v>0</v>
      </c>
      <c r="AC1401" s="69">
        <f t="shared" si="348"/>
        <v>325206000</v>
      </c>
      <c r="AD1401" s="70">
        <v>0</v>
      </c>
      <c r="AE1401" s="63">
        <v>40452</v>
      </c>
      <c r="AF1401" s="72">
        <v>52104</v>
      </c>
      <c r="AG1401" s="63" t="s">
        <v>954</v>
      </c>
      <c r="AH1401" s="23" t="s">
        <v>955</v>
      </c>
      <c r="AI1401" s="75">
        <v>26770</v>
      </c>
      <c r="AJ1401" s="124" t="s">
        <v>1122</v>
      </c>
      <c r="AK1401" s="121" t="s">
        <v>1813</v>
      </c>
      <c r="AL1401" s="107"/>
      <c r="AM1401" s="108"/>
      <c r="AN1401" s="109"/>
      <c r="AO1401" s="108"/>
      <c r="AP1401" s="108"/>
      <c r="AQ1401" s="108"/>
      <c r="AR1401" s="108"/>
      <c r="AS1401" s="108"/>
      <c r="AT1401" s="108"/>
      <c r="AU1401" s="108"/>
      <c r="AV1401" s="108"/>
      <c r="AW1401" s="108"/>
      <c r="AX1401" s="108"/>
      <c r="AY1401" s="108"/>
      <c r="AZ1401" s="108"/>
      <c r="BA1401" s="108"/>
      <c r="BB1401" s="108"/>
      <c r="BC1401" s="108"/>
      <c r="BD1401" s="108"/>
      <c r="BE1401" s="108"/>
      <c r="BF1401" s="108"/>
      <c r="BG1401" s="108"/>
      <c r="BH1401" s="108"/>
      <c r="BI1401" s="108"/>
      <c r="BJ1401" s="108"/>
      <c r="BK1401" s="108"/>
      <c r="BL1401" s="108"/>
      <c r="BM1401" s="108"/>
      <c r="BN1401" s="108"/>
      <c r="BO1401" s="108"/>
      <c r="BP1401" s="108"/>
      <c r="BQ1401" s="108"/>
      <c r="BR1401" s="108"/>
      <c r="BS1401" s="108"/>
      <c r="BT1401" s="108"/>
      <c r="BU1401" s="108"/>
      <c r="BV1401" s="108"/>
      <c r="BW1401" s="108"/>
      <c r="BX1401" s="108"/>
      <c r="BY1401" s="108"/>
      <c r="BZ1401" s="108"/>
      <c r="CA1401" s="108"/>
      <c r="CB1401" s="108"/>
      <c r="CC1401" s="108"/>
      <c r="CD1401" s="108"/>
      <c r="CE1401" s="108"/>
      <c r="CF1401" s="108"/>
      <c r="CG1401" s="108"/>
      <c r="CH1401" s="108"/>
      <c r="CI1401" s="108"/>
      <c r="CJ1401" s="108"/>
      <c r="CK1401" s="108"/>
      <c r="CL1401" s="108"/>
      <c r="CM1401" s="108"/>
      <c r="CN1401" s="110"/>
      <c r="CO1401" s="111"/>
      <c r="CP1401" s="110"/>
      <c r="CQ1401" s="111"/>
      <c r="CR1401" s="110"/>
      <c r="CS1401" s="111"/>
      <c r="CT1401" s="112">
        <f t="shared" si="349"/>
        <v>0</v>
      </c>
      <c r="CU1401" s="113">
        <f>100000+100000+150000</f>
        <v>350000</v>
      </c>
      <c r="CV1401" s="114">
        <f>100000*900.16+100000*986+150000*910.6</f>
        <v>325206000</v>
      </c>
      <c r="CW1401" s="115"/>
      <c r="CX1401" s="116"/>
      <c r="CY1401" s="117"/>
      <c r="CZ1401" s="116"/>
      <c r="DA1401" s="113"/>
      <c r="DB1401" s="114"/>
      <c r="DC1401" s="64"/>
      <c r="DD1401" s="118"/>
    </row>
    <row r="1402" spans="1:108" s="119" customFormat="1" ht="45" outlineLevel="2">
      <c r="A1402" s="178">
        <v>40470</v>
      </c>
      <c r="B1402" s="164" t="s">
        <v>1217</v>
      </c>
      <c r="C1402" s="164" t="s">
        <v>1857</v>
      </c>
      <c r="D1402" s="166" t="s">
        <v>1262</v>
      </c>
      <c r="E1402" s="163"/>
      <c r="F1402" s="105"/>
      <c r="G1402" s="105"/>
      <c r="H1402" s="105">
        <f>550*5</f>
        <v>2750</v>
      </c>
      <c r="I1402" s="105">
        <v>550</v>
      </c>
      <c r="J1402" s="105"/>
      <c r="K1402" s="105"/>
      <c r="L1402" s="105"/>
      <c r="M1402" s="105"/>
      <c r="N1402" s="105"/>
      <c r="O1402" s="105"/>
      <c r="P1402" s="105"/>
      <c r="Q1402" s="105"/>
      <c r="R1402" s="105"/>
      <c r="S1402" s="105"/>
      <c r="T1402" s="106"/>
      <c r="U1402" s="130"/>
      <c r="V1402" s="1"/>
      <c r="W1402" s="68">
        <f t="shared" si="344"/>
        <v>0</v>
      </c>
      <c r="X1402" s="68">
        <f t="shared" si="345"/>
        <v>0</v>
      </c>
      <c r="Y1402" s="68">
        <f t="shared" si="346"/>
        <v>0</v>
      </c>
      <c r="Z1402" s="68">
        <f t="shared" si="347"/>
        <v>0</v>
      </c>
      <c r="AA1402" s="68"/>
      <c r="AB1402" s="68">
        <v>0</v>
      </c>
      <c r="AC1402" s="69">
        <f t="shared" si="348"/>
        <v>0</v>
      </c>
      <c r="AD1402" s="70">
        <v>63050000</v>
      </c>
      <c r="AE1402" s="63">
        <v>40484</v>
      </c>
      <c r="AF1402" s="72"/>
      <c r="AG1402" s="63" t="s">
        <v>954</v>
      </c>
      <c r="AH1402" s="23" t="s">
        <v>955</v>
      </c>
      <c r="AI1402" s="83"/>
      <c r="AJ1402" s="133" t="s">
        <v>415</v>
      </c>
      <c r="AK1402" s="121" t="s">
        <v>378</v>
      </c>
      <c r="AL1402" s="107"/>
      <c r="AM1402" s="108"/>
      <c r="AN1402" s="109"/>
      <c r="AO1402" s="108"/>
      <c r="AP1402" s="108"/>
      <c r="AQ1402" s="108"/>
      <c r="AR1402" s="108"/>
      <c r="AS1402" s="108"/>
      <c r="AT1402" s="108"/>
      <c r="AU1402" s="108"/>
      <c r="AV1402" s="108"/>
      <c r="AW1402" s="108"/>
      <c r="AX1402" s="108"/>
      <c r="AY1402" s="108"/>
      <c r="AZ1402" s="108"/>
      <c r="BA1402" s="108"/>
      <c r="BB1402" s="108"/>
      <c r="BC1402" s="108"/>
      <c r="BD1402" s="108"/>
      <c r="BE1402" s="108"/>
      <c r="BF1402" s="108"/>
      <c r="BG1402" s="108"/>
      <c r="BH1402" s="108"/>
      <c r="BI1402" s="108"/>
      <c r="BJ1402" s="108"/>
      <c r="BK1402" s="108"/>
      <c r="BL1402" s="108"/>
      <c r="BM1402" s="108"/>
      <c r="BN1402" s="108"/>
      <c r="BO1402" s="108"/>
      <c r="BP1402" s="108"/>
      <c r="BQ1402" s="108"/>
      <c r="BR1402" s="108"/>
      <c r="BS1402" s="108"/>
      <c r="BT1402" s="108"/>
      <c r="BU1402" s="108"/>
      <c r="BV1402" s="108"/>
      <c r="BW1402" s="108"/>
      <c r="BX1402" s="108"/>
      <c r="BY1402" s="108"/>
      <c r="BZ1402" s="108"/>
      <c r="CA1402" s="108"/>
      <c r="CB1402" s="108"/>
      <c r="CC1402" s="108"/>
      <c r="CD1402" s="108"/>
      <c r="CE1402" s="108"/>
      <c r="CF1402" s="108"/>
      <c r="CG1402" s="108"/>
      <c r="CH1402" s="108"/>
      <c r="CI1402" s="108"/>
      <c r="CJ1402" s="108"/>
      <c r="CK1402" s="108"/>
      <c r="CL1402" s="108"/>
      <c r="CM1402" s="108"/>
      <c r="CN1402" s="110"/>
      <c r="CO1402" s="111"/>
      <c r="CP1402" s="110"/>
      <c r="CQ1402" s="111"/>
      <c r="CR1402" s="110"/>
      <c r="CS1402" s="111"/>
      <c r="CT1402" s="112">
        <f t="shared" si="349"/>
        <v>0</v>
      </c>
      <c r="CU1402" s="113"/>
      <c r="CV1402" s="114"/>
      <c r="CW1402" s="115"/>
      <c r="CX1402" s="116"/>
      <c r="CY1402" s="117"/>
      <c r="CZ1402" s="116"/>
      <c r="DA1402" s="113"/>
      <c r="DB1402" s="114"/>
      <c r="DC1402" s="64"/>
      <c r="DD1402" s="118">
        <v>1378</v>
      </c>
    </row>
    <row r="1403" spans="1:108" s="119" customFormat="1" ht="60" outlineLevel="2">
      <c r="A1403" s="178">
        <v>40470</v>
      </c>
      <c r="B1403" s="164" t="s">
        <v>1217</v>
      </c>
      <c r="C1403" s="164" t="s">
        <v>1231</v>
      </c>
      <c r="D1403" s="166" t="s">
        <v>1262</v>
      </c>
      <c r="E1403" s="163"/>
      <c r="F1403" s="105"/>
      <c r="G1403" s="105"/>
      <c r="H1403" s="105"/>
      <c r="I1403" s="105"/>
      <c r="J1403" s="105"/>
      <c r="K1403" s="105"/>
      <c r="L1403" s="105"/>
      <c r="M1403" s="105"/>
      <c r="N1403" s="105"/>
      <c r="O1403" s="105"/>
      <c r="P1403" s="105"/>
      <c r="Q1403" s="105"/>
      <c r="R1403" s="105"/>
      <c r="S1403" s="105"/>
      <c r="T1403" s="106"/>
      <c r="U1403" s="130"/>
      <c r="V1403" s="1">
        <v>40520</v>
      </c>
      <c r="W1403" s="68">
        <f t="shared" si="344"/>
        <v>0</v>
      </c>
      <c r="X1403" s="68">
        <f t="shared" si="345"/>
        <v>0</v>
      </c>
      <c r="Y1403" s="68">
        <f t="shared" si="346"/>
        <v>0</v>
      </c>
      <c r="Z1403" s="68">
        <f t="shared" si="347"/>
        <v>0</v>
      </c>
      <c r="AA1403" s="68"/>
      <c r="AB1403" s="68">
        <v>94694816</v>
      </c>
      <c r="AC1403" s="69">
        <f t="shared" si="348"/>
        <v>94694816</v>
      </c>
      <c r="AD1403" s="70">
        <v>0</v>
      </c>
      <c r="AE1403" s="63">
        <v>40470</v>
      </c>
      <c r="AF1403" s="72"/>
      <c r="AG1403" s="63" t="s">
        <v>954</v>
      </c>
      <c r="AH1403" s="23" t="s">
        <v>955</v>
      </c>
      <c r="AI1403" s="60">
        <v>46552</v>
      </c>
      <c r="AJ1403" s="124" t="s">
        <v>1863</v>
      </c>
      <c r="AK1403" s="121" t="s">
        <v>195</v>
      </c>
      <c r="AL1403" s="107"/>
      <c r="AM1403" s="108"/>
      <c r="AN1403" s="109"/>
      <c r="AO1403" s="108"/>
      <c r="AP1403" s="108"/>
      <c r="AQ1403" s="108"/>
      <c r="AR1403" s="108"/>
      <c r="AS1403" s="108"/>
      <c r="AT1403" s="108"/>
      <c r="AU1403" s="108"/>
      <c r="AV1403" s="108"/>
      <c r="AW1403" s="108"/>
      <c r="AX1403" s="108"/>
      <c r="AY1403" s="108"/>
      <c r="AZ1403" s="108"/>
      <c r="BA1403" s="108"/>
      <c r="BB1403" s="108"/>
      <c r="BC1403" s="108"/>
      <c r="BD1403" s="108"/>
      <c r="BE1403" s="108"/>
      <c r="BF1403" s="108"/>
      <c r="BG1403" s="108"/>
      <c r="BH1403" s="108"/>
      <c r="BI1403" s="108"/>
      <c r="BJ1403" s="108"/>
      <c r="BK1403" s="108"/>
      <c r="BL1403" s="108"/>
      <c r="BM1403" s="108"/>
      <c r="BN1403" s="108"/>
      <c r="BO1403" s="108"/>
      <c r="BP1403" s="108"/>
      <c r="BQ1403" s="108"/>
      <c r="BR1403" s="108"/>
      <c r="BS1403" s="108"/>
      <c r="BT1403" s="108"/>
      <c r="BU1403" s="108"/>
      <c r="BV1403" s="108"/>
      <c r="BW1403" s="108"/>
      <c r="BX1403" s="108"/>
      <c r="BY1403" s="108"/>
      <c r="BZ1403" s="108"/>
      <c r="CA1403" s="108"/>
      <c r="CB1403" s="108"/>
      <c r="CC1403" s="108"/>
      <c r="CD1403" s="108"/>
      <c r="CE1403" s="108"/>
      <c r="CF1403" s="108"/>
      <c r="CG1403" s="108"/>
      <c r="CH1403" s="108"/>
      <c r="CI1403" s="108"/>
      <c r="CJ1403" s="108"/>
      <c r="CK1403" s="108"/>
      <c r="CL1403" s="108"/>
      <c r="CM1403" s="108"/>
      <c r="CN1403" s="110"/>
      <c r="CO1403" s="111"/>
      <c r="CP1403" s="110"/>
      <c r="CQ1403" s="111"/>
      <c r="CR1403" s="110"/>
      <c r="CS1403" s="111"/>
      <c r="CT1403" s="112">
        <f t="shared" si="349"/>
        <v>0</v>
      </c>
      <c r="CU1403" s="113"/>
      <c r="CV1403" s="114"/>
      <c r="CW1403" s="115"/>
      <c r="CX1403" s="116"/>
      <c r="CY1403" s="117"/>
      <c r="CZ1403" s="116"/>
      <c r="DA1403" s="113"/>
      <c r="DB1403" s="114"/>
      <c r="DC1403" s="64">
        <v>4</v>
      </c>
      <c r="DD1403" s="118"/>
    </row>
    <row r="1404" spans="1:108" s="119" customFormat="1" outlineLevel="2">
      <c r="A1404" s="178">
        <v>40483</v>
      </c>
      <c r="B1404" s="164" t="s">
        <v>1217</v>
      </c>
      <c r="C1404" s="164" t="s">
        <v>1846</v>
      </c>
      <c r="D1404" s="166" t="s">
        <v>1262</v>
      </c>
      <c r="E1404" s="163"/>
      <c r="F1404" s="105"/>
      <c r="G1404" s="105"/>
      <c r="H1404" s="105">
        <v>1092</v>
      </c>
      <c r="I1404" s="105">
        <v>243</v>
      </c>
      <c r="J1404" s="105"/>
      <c r="K1404" s="105">
        <v>243</v>
      </c>
      <c r="L1404" s="105"/>
      <c r="M1404" s="105"/>
      <c r="N1404" s="105"/>
      <c r="O1404" s="105"/>
      <c r="P1404" s="105"/>
      <c r="Q1404" s="105"/>
      <c r="R1404" s="105"/>
      <c r="S1404" s="105"/>
      <c r="T1404" s="106"/>
      <c r="U1404" s="130"/>
      <c r="V1404" s="1"/>
      <c r="W1404" s="68">
        <f t="shared" si="344"/>
        <v>0</v>
      </c>
      <c r="X1404" s="68">
        <f t="shared" si="345"/>
        <v>0</v>
      </c>
      <c r="Y1404" s="68">
        <f t="shared" si="346"/>
        <v>0</v>
      </c>
      <c r="Z1404" s="68">
        <f t="shared" si="347"/>
        <v>0</v>
      </c>
      <c r="AA1404" s="68"/>
      <c r="AB1404" s="68">
        <v>0</v>
      </c>
      <c r="AC1404" s="69">
        <f t="shared" si="348"/>
        <v>0</v>
      </c>
      <c r="AD1404" s="70">
        <v>0</v>
      </c>
      <c r="AE1404" s="63"/>
      <c r="AF1404" s="72"/>
      <c r="AG1404" s="63"/>
      <c r="AH1404" s="23"/>
      <c r="AI1404" s="60"/>
      <c r="AJ1404" s="124"/>
      <c r="AK1404" s="121"/>
      <c r="AL1404" s="107"/>
      <c r="AM1404" s="108"/>
      <c r="AN1404" s="109"/>
      <c r="AO1404" s="108"/>
      <c r="AP1404" s="108"/>
      <c r="AQ1404" s="108"/>
      <c r="AR1404" s="108"/>
      <c r="AS1404" s="108"/>
      <c r="AT1404" s="108"/>
      <c r="AU1404" s="108"/>
      <c r="AV1404" s="108"/>
      <c r="AW1404" s="108"/>
      <c r="AX1404" s="108"/>
      <c r="AY1404" s="108"/>
      <c r="AZ1404" s="108"/>
      <c r="BA1404" s="108"/>
      <c r="BB1404" s="108"/>
      <c r="BC1404" s="108"/>
      <c r="BD1404" s="108"/>
      <c r="BE1404" s="108"/>
      <c r="BF1404" s="108"/>
      <c r="BG1404" s="108"/>
      <c r="BH1404" s="108"/>
      <c r="BI1404" s="108"/>
      <c r="BJ1404" s="108"/>
      <c r="BK1404" s="108"/>
      <c r="BL1404" s="108"/>
      <c r="BM1404" s="108"/>
      <c r="BN1404" s="108"/>
      <c r="BO1404" s="108"/>
      <c r="BP1404" s="108"/>
      <c r="BQ1404" s="108"/>
      <c r="BR1404" s="108"/>
      <c r="BS1404" s="108"/>
      <c r="BT1404" s="108"/>
      <c r="BU1404" s="108"/>
      <c r="BV1404" s="108"/>
      <c r="BW1404" s="108"/>
      <c r="BX1404" s="108"/>
      <c r="BY1404" s="108"/>
      <c r="BZ1404" s="108"/>
      <c r="CA1404" s="108"/>
      <c r="CB1404" s="108"/>
      <c r="CC1404" s="108"/>
      <c r="CD1404" s="108"/>
      <c r="CE1404" s="108"/>
      <c r="CF1404" s="108"/>
      <c r="CG1404" s="108"/>
      <c r="CH1404" s="108"/>
      <c r="CI1404" s="108"/>
      <c r="CJ1404" s="108"/>
      <c r="CK1404" s="108"/>
      <c r="CL1404" s="108"/>
      <c r="CM1404" s="108"/>
      <c r="CN1404" s="110"/>
      <c r="CO1404" s="111"/>
      <c r="CP1404" s="110"/>
      <c r="CQ1404" s="111"/>
      <c r="CR1404" s="110"/>
      <c r="CS1404" s="111"/>
      <c r="CT1404" s="112">
        <f t="shared" si="349"/>
        <v>0</v>
      </c>
      <c r="CU1404" s="113"/>
      <c r="CV1404" s="114"/>
      <c r="CW1404" s="115"/>
      <c r="CX1404" s="116"/>
      <c r="CY1404" s="117"/>
      <c r="CZ1404" s="116"/>
      <c r="DA1404" s="113"/>
      <c r="DB1404" s="114"/>
      <c r="DC1404" s="64"/>
      <c r="DD1404" s="118"/>
    </row>
    <row r="1405" spans="1:108" s="119" customFormat="1" ht="36" outlineLevel="2">
      <c r="A1405" s="178">
        <v>40490</v>
      </c>
      <c r="B1405" s="164" t="s">
        <v>1217</v>
      </c>
      <c r="C1405" s="164" t="s">
        <v>1488</v>
      </c>
      <c r="D1405" s="166" t="s">
        <v>1262</v>
      </c>
      <c r="E1405" s="163"/>
      <c r="F1405" s="105"/>
      <c r="G1405" s="105"/>
      <c r="H1405" s="105"/>
      <c r="I1405" s="105"/>
      <c r="J1405" s="105"/>
      <c r="K1405" s="105"/>
      <c r="L1405" s="105"/>
      <c r="M1405" s="105"/>
      <c r="N1405" s="105"/>
      <c r="O1405" s="105"/>
      <c r="P1405" s="105"/>
      <c r="Q1405" s="105"/>
      <c r="R1405" s="105"/>
      <c r="S1405" s="105"/>
      <c r="T1405" s="106"/>
      <c r="U1405" s="130"/>
      <c r="V1405" s="1"/>
      <c r="W1405" s="68">
        <f t="shared" si="344"/>
        <v>0</v>
      </c>
      <c r="X1405" s="68">
        <f t="shared" si="345"/>
        <v>0</v>
      </c>
      <c r="Y1405" s="68">
        <f t="shared" si="346"/>
        <v>0</v>
      </c>
      <c r="Z1405" s="68">
        <f t="shared" si="347"/>
        <v>0</v>
      </c>
      <c r="AA1405" s="68"/>
      <c r="AB1405" s="68">
        <v>0</v>
      </c>
      <c r="AC1405" s="69">
        <f t="shared" si="348"/>
        <v>0</v>
      </c>
      <c r="AD1405" s="70">
        <v>0</v>
      </c>
      <c r="AE1405" s="63">
        <v>40494</v>
      </c>
      <c r="AF1405" s="72"/>
      <c r="AG1405" s="63" t="s">
        <v>938</v>
      </c>
      <c r="AH1405" s="23" t="s">
        <v>939</v>
      </c>
      <c r="AI1405" s="60"/>
      <c r="AJ1405" s="124" t="s">
        <v>1608</v>
      </c>
      <c r="AK1405" s="121" t="s">
        <v>586</v>
      </c>
      <c r="AL1405" s="107"/>
      <c r="AM1405" s="108"/>
      <c r="AN1405" s="109"/>
      <c r="AO1405" s="108"/>
      <c r="AP1405" s="108"/>
      <c r="AQ1405" s="108"/>
      <c r="AR1405" s="108"/>
      <c r="AS1405" s="108"/>
      <c r="AT1405" s="108"/>
      <c r="AU1405" s="108"/>
      <c r="AV1405" s="108"/>
      <c r="AW1405" s="108"/>
      <c r="AX1405" s="108"/>
      <c r="AY1405" s="108"/>
      <c r="AZ1405" s="108"/>
      <c r="BA1405" s="108"/>
      <c r="BB1405" s="108"/>
      <c r="BC1405" s="108"/>
      <c r="BD1405" s="108"/>
      <c r="BE1405" s="108"/>
      <c r="BF1405" s="108"/>
      <c r="BG1405" s="108"/>
      <c r="BH1405" s="108"/>
      <c r="BI1405" s="108"/>
      <c r="BJ1405" s="108"/>
      <c r="BK1405" s="108"/>
      <c r="BL1405" s="108"/>
      <c r="BM1405" s="108"/>
      <c r="BN1405" s="108"/>
      <c r="BO1405" s="108"/>
      <c r="BP1405" s="108"/>
      <c r="BQ1405" s="108"/>
      <c r="BR1405" s="108"/>
      <c r="BS1405" s="108"/>
      <c r="BT1405" s="108"/>
      <c r="BU1405" s="108"/>
      <c r="BV1405" s="108"/>
      <c r="BW1405" s="108"/>
      <c r="BX1405" s="108"/>
      <c r="BY1405" s="108"/>
      <c r="BZ1405" s="108"/>
      <c r="CA1405" s="108"/>
      <c r="CB1405" s="108"/>
      <c r="CC1405" s="108"/>
      <c r="CD1405" s="108"/>
      <c r="CE1405" s="108"/>
      <c r="CF1405" s="108"/>
      <c r="CG1405" s="108"/>
      <c r="CH1405" s="108"/>
      <c r="CI1405" s="108"/>
      <c r="CJ1405" s="108"/>
      <c r="CK1405" s="108"/>
      <c r="CL1405" s="108"/>
      <c r="CM1405" s="108"/>
      <c r="CN1405" s="110"/>
      <c r="CO1405" s="111"/>
      <c r="CP1405" s="110"/>
      <c r="CQ1405" s="111"/>
      <c r="CR1405" s="110"/>
      <c r="CS1405" s="111"/>
      <c r="CT1405" s="112">
        <f t="shared" si="349"/>
        <v>0</v>
      </c>
      <c r="CU1405" s="113"/>
      <c r="CV1405" s="114"/>
      <c r="CW1405" s="115"/>
      <c r="CX1405" s="116"/>
      <c r="CY1405" s="117"/>
      <c r="CZ1405" s="116"/>
      <c r="DA1405" s="113"/>
      <c r="DB1405" s="114"/>
      <c r="DC1405" s="64"/>
      <c r="DD1405" s="118"/>
    </row>
    <row r="1406" spans="1:108" s="119" customFormat="1" outlineLevel="2">
      <c r="A1406" s="178">
        <v>40501</v>
      </c>
      <c r="B1406" s="164" t="s">
        <v>1217</v>
      </c>
      <c r="C1406" s="164" t="s">
        <v>1217</v>
      </c>
      <c r="D1406" s="166" t="s">
        <v>435</v>
      </c>
      <c r="E1406" s="163"/>
      <c r="F1406" s="105"/>
      <c r="G1406" s="105"/>
      <c r="H1406" s="105">
        <v>25</v>
      </c>
      <c r="I1406" s="105">
        <v>3</v>
      </c>
      <c r="J1406" s="105"/>
      <c r="K1406" s="105">
        <v>3</v>
      </c>
      <c r="L1406" s="105"/>
      <c r="M1406" s="105"/>
      <c r="N1406" s="105"/>
      <c r="O1406" s="105"/>
      <c r="P1406" s="105"/>
      <c r="Q1406" s="105"/>
      <c r="R1406" s="105"/>
      <c r="S1406" s="105"/>
      <c r="T1406" s="106"/>
      <c r="U1406" s="130"/>
      <c r="V1406" s="1"/>
      <c r="W1406" s="68">
        <f t="shared" si="344"/>
        <v>0</v>
      </c>
      <c r="X1406" s="68">
        <f t="shared" si="345"/>
        <v>0</v>
      </c>
      <c r="Y1406" s="68">
        <f t="shared" si="346"/>
        <v>0</v>
      </c>
      <c r="Z1406" s="68">
        <f t="shared" si="347"/>
        <v>0</v>
      </c>
      <c r="AA1406" s="68"/>
      <c r="AB1406" s="68">
        <v>0</v>
      </c>
      <c r="AC1406" s="69">
        <f t="shared" si="348"/>
        <v>0</v>
      </c>
      <c r="AD1406" s="70">
        <v>0</v>
      </c>
      <c r="AE1406" s="63">
        <v>40504</v>
      </c>
      <c r="AF1406" s="72"/>
      <c r="AG1406" s="63" t="s">
        <v>938</v>
      </c>
      <c r="AH1406" s="23" t="s">
        <v>939</v>
      </c>
      <c r="AI1406" s="60"/>
      <c r="AJ1406" s="124" t="s">
        <v>1608</v>
      </c>
      <c r="AK1406" s="121" t="s">
        <v>437</v>
      </c>
      <c r="AL1406" s="107"/>
      <c r="AM1406" s="108"/>
      <c r="AN1406" s="109"/>
      <c r="AO1406" s="108"/>
      <c r="AP1406" s="108"/>
      <c r="AQ1406" s="108"/>
      <c r="AR1406" s="108"/>
      <c r="AS1406" s="108"/>
      <c r="AT1406" s="108"/>
      <c r="AU1406" s="108"/>
      <c r="AV1406" s="108"/>
      <c r="AW1406" s="108"/>
      <c r="AX1406" s="108"/>
      <c r="AY1406" s="108"/>
      <c r="AZ1406" s="108"/>
      <c r="BA1406" s="108"/>
      <c r="BB1406" s="108"/>
      <c r="BC1406" s="108"/>
      <c r="BD1406" s="108"/>
      <c r="BE1406" s="108"/>
      <c r="BF1406" s="108"/>
      <c r="BG1406" s="108"/>
      <c r="BH1406" s="108"/>
      <c r="BI1406" s="108"/>
      <c r="BJ1406" s="108"/>
      <c r="BK1406" s="108"/>
      <c r="BL1406" s="108"/>
      <c r="BM1406" s="108"/>
      <c r="BN1406" s="108"/>
      <c r="BO1406" s="108"/>
      <c r="BP1406" s="108"/>
      <c r="BQ1406" s="108"/>
      <c r="BR1406" s="108"/>
      <c r="BS1406" s="108"/>
      <c r="BT1406" s="108"/>
      <c r="BU1406" s="108"/>
      <c r="BV1406" s="108"/>
      <c r="BW1406" s="108"/>
      <c r="BX1406" s="108"/>
      <c r="BY1406" s="108"/>
      <c r="BZ1406" s="108"/>
      <c r="CA1406" s="108"/>
      <c r="CB1406" s="108"/>
      <c r="CC1406" s="108"/>
      <c r="CD1406" s="108"/>
      <c r="CE1406" s="108"/>
      <c r="CF1406" s="108"/>
      <c r="CG1406" s="108"/>
      <c r="CH1406" s="108"/>
      <c r="CI1406" s="108"/>
      <c r="CJ1406" s="108"/>
      <c r="CK1406" s="108"/>
      <c r="CL1406" s="108"/>
      <c r="CM1406" s="108"/>
      <c r="CN1406" s="110"/>
      <c r="CO1406" s="111"/>
      <c r="CP1406" s="110"/>
      <c r="CQ1406" s="111"/>
      <c r="CR1406" s="110"/>
      <c r="CS1406" s="111"/>
      <c r="CT1406" s="112">
        <f t="shared" si="349"/>
        <v>0</v>
      </c>
      <c r="CU1406" s="113"/>
      <c r="CV1406" s="114"/>
      <c r="CW1406" s="115"/>
      <c r="CX1406" s="116"/>
      <c r="CY1406" s="117"/>
      <c r="CZ1406" s="116"/>
      <c r="DA1406" s="113"/>
      <c r="DB1406" s="114"/>
      <c r="DC1406" s="64"/>
      <c r="DD1406" s="118"/>
    </row>
    <row r="1407" spans="1:108" s="119" customFormat="1" outlineLevel="1">
      <c r="A1407" s="178"/>
      <c r="B1407" s="192" t="s">
        <v>2463</v>
      </c>
      <c r="C1407" s="164"/>
      <c r="D1407" s="166"/>
      <c r="E1407" s="163">
        <f t="shared" ref="E1407:T1407" si="350">SUBTOTAL(9,E1379:E1406)</f>
        <v>0</v>
      </c>
      <c r="F1407" s="105">
        <f t="shared" si="350"/>
        <v>0</v>
      </c>
      <c r="G1407" s="105">
        <f t="shared" si="350"/>
        <v>0</v>
      </c>
      <c r="H1407" s="105">
        <f t="shared" si="350"/>
        <v>107800</v>
      </c>
      <c r="I1407" s="105">
        <f t="shared" si="350"/>
        <v>28024</v>
      </c>
      <c r="J1407" s="105">
        <f t="shared" si="350"/>
        <v>12</v>
      </c>
      <c r="K1407" s="105">
        <f t="shared" si="350"/>
        <v>13890</v>
      </c>
      <c r="L1407" s="105">
        <f t="shared" si="350"/>
        <v>1</v>
      </c>
      <c r="M1407" s="105">
        <f t="shared" si="350"/>
        <v>1</v>
      </c>
      <c r="N1407" s="105">
        <f t="shared" si="350"/>
        <v>0</v>
      </c>
      <c r="O1407" s="105">
        <f t="shared" si="350"/>
        <v>0</v>
      </c>
      <c r="P1407" s="105">
        <f t="shared" si="350"/>
        <v>0</v>
      </c>
      <c r="Q1407" s="105">
        <f t="shared" si="350"/>
        <v>1</v>
      </c>
      <c r="R1407" s="105">
        <f t="shared" si="350"/>
        <v>1</v>
      </c>
      <c r="S1407" s="105">
        <f t="shared" si="350"/>
        <v>0</v>
      </c>
      <c r="T1407" s="106">
        <f t="shared" si="350"/>
        <v>20725</v>
      </c>
      <c r="U1407" s="130"/>
      <c r="V1407" s="1"/>
      <c r="W1407" s="68">
        <f t="shared" ref="W1407:AD1407" si="351">SUBTOTAL(9,W1379:W1406)</f>
        <v>801963000</v>
      </c>
      <c r="X1407" s="68">
        <f t="shared" si="351"/>
        <v>3884415000</v>
      </c>
      <c r="Y1407" s="68">
        <f t="shared" si="351"/>
        <v>44736400</v>
      </c>
      <c r="Z1407" s="68">
        <f t="shared" si="351"/>
        <v>911167600</v>
      </c>
      <c r="AA1407" s="68">
        <f t="shared" si="351"/>
        <v>34382400</v>
      </c>
      <c r="AB1407" s="68">
        <f t="shared" si="351"/>
        <v>619694816</v>
      </c>
      <c r="AC1407" s="69">
        <f t="shared" si="351"/>
        <v>6296359216</v>
      </c>
      <c r="AD1407" s="70">
        <f t="shared" si="351"/>
        <v>63050000</v>
      </c>
      <c r="AE1407" s="63"/>
      <c r="AF1407" s="72"/>
      <c r="AG1407" s="63"/>
      <c r="AH1407" s="23"/>
      <c r="AI1407" s="60"/>
      <c r="AJ1407" s="124"/>
      <c r="AK1407" s="121"/>
      <c r="AL1407" s="107"/>
      <c r="AM1407" s="108"/>
      <c r="AN1407" s="109"/>
      <c r="AO1407" s="108"/>
      <c r="AP1407" s="108"/>
      <c r="AQ1407" s="108"/>
      <c r="AR1407" s="108"/>
      <c r="AS1407" s="108"/>
      <c r="AT1407" s="108"/>
      <c r="AU1407" s="108"/>
      <c r="AV1407" s="108"/>
      <c r="AW1407" s="108"/>
      <c r="AX1407" s="108"/>
      <c r="AY1407" s="108"/>
      <c r="AZ1407" s="108"/>
      <c r="BA1407" s="108"/>
      <c r="BB1407" s="108"/>
      <c r="BC1407" s="108"/>
      <c r="BD1407" s="108"/>
      <c r="BE1407" s="108"/>
      <c r="BF1407" s="108"/>
      <c r="BG1407" s="108"/>
      <c r="BH1407" s="108"/>
      <c r="BI1407" s="108"/>
      <c r="BJ1407" s="108"/>
      <c r="BK1407" s="108"/>
      <c r="BL1407" s="108"/>
      <c r="BM1407" s="108"/>
      <c r="BN1407" s="108"/>
      <c r="BO1407" s="108"/>
      <c r="BP1407" s="108"/>
      <c r="BQ1407" s="108"/>
      <c r="BR1407" s="108"/>
      <c r="BS1407" s="108"/>
      <c r="BT1407" s="108"/>
      <c r="BU1407" s="108"/>
      <c r="BV1407" s="108"/>
      <c r="BW1407" s="108"/>
      <c r="BX1407" s="108"/>
      <c r="BY1407" s="108"/>
      <c r="BZ1407" s="108"/>
      <c r="CA1407" s="108"/>
      <c r="CB1407" s="108"/>
      <c r="CC1407" s="108"/>
      <c r="CD1407" s="108"/>
      <c r="CE1407" s="108"/>
      <c r="CF1407" s="108"/>
      <c r="CG1407" s="108"/>
      <c r="CH1407" s="108"/>
      <c r="CI1407" s="108"/>
      <c r="CJ1407" s="108"/>
      <c r="CK1407" s="108"/>
      <c r="CL1407" s="108"/>
      <c r="CM1407" s="108"/>
      <c r="CN1407" s="110"/>
      <c r="CO1407" s="111"/>
      <c r="CP1407" s="110"/>
      <c r="CQ1407" s="111"/>
      <c r="CR1407" s="110"/>
      <c r="CS1407" s="111"/>
      <c r="CT1407" s="112"/>
      <c r="CU1407" s="113"/>
      <c r="CV1407" s="114"/>
      <c r="CW1407" s="115"/>
      <c r="CX1407" s="116"/>
      <c r="CY1407" s="117"/>
      <c r="CZ1407" s="116"/>
      <c r="DA1407" s="113"/>
      <c r="DB1407" s="114"/>
      <c r="DC1407" s="64"/>
      <c r="DD1407" s="118"/>
    </row>
    <row r="1408" spans="1:108" s="119" customFormat="1" ht="84" outlineLevel="2">
      <c r="A1408" s="178">
        <v>40274</v>
      </c>
      <c r="B1408" s="82" t="s">
        <v>905</v>
      </c>
      <c r="C1408" s="82" t="s">
        <v>1196</v>
      </c>
      <c r="D1408" s="165" t="s">
        <v>435</v>
      </c>
      <c r="E1408" s="167"/>
      <c r="F1408" s="66"/>
      <c r="G1408" s="66"/>
      <c r="H1408" s="66">
        <v>125</v>
      </c>
      <c r="I1408" s="66">
        <v>25</v>
      </c>
      <c r="J1408" s="66"/>
      <c r="K1408" s="66">
        <v>25</v>
      </c>
      <c r="L1408" s="66"/>
      <c r="M1408" s="66"/>
      <c r="N1408" s="66"/>
      <c r="O1408" s="66"/>
      <c r="P1408" s="66"/>
      <c r="Q1408" s="66"/>
      <c r="R1408" s="66"/>
      <c r="S1408" s="66"/>
      <c r="T1408" s="67"/>
      <c r="U1408" s="151"/>
      <c r="V1408" s="1"/>
      <c r="W1408" s="68">
        <f t="shared" ref="W1408:W1439" si="352">CT1408</f>
        <v>0</v>
      </c>
      <c r="X1408" s="68">
        <f t="shared" ref="X1408:X1439" si="353">CX1408</f>
        <v>0</v>
      </c>
      <c r="Y1408" s="68">
        <f t="shared" ref="Y1408:Y1439" si="354">CZ1408+DB1408</f>
        <v>0</v>
      </c>
      <c r="Z1408" s="68">
        <f t="shared" ref="Z1408:Z1439" si="355">CV1408</f>
        <v>0</v>
      </c>
      <c r="AA1408" s="68"/>
      <c r="AB1408" s="68">
        <v>0</v>
      </c>
      <c r="AC1408" s="69">
        <f t="shared" ref="AC1408:AC1439" si="356">W1408+X1408+Y1408+Z1408+AA1408+AB1408</f>
        <v>0</v>
      </c>
      <c r="AD1408" s="70">
        <v>0</v>
      </c>
      <c r="AE1408" s="63">
        <v>40275</v>
      </c>
      <c r="AF1408" s="72"/>
      <c r="AG1408" s="63" t="s">
        <v>938</v>
      </c>
      <c r="AH1408" s="23" t="s">
        <v>939</v>
      </c>
      <c r="AI1408" s="60"/>
      <c r="AJ1408" s="133" t="s">
        <v>1608</v>
      </c>
      <c r="AK1408" s="73" t="s">
        <v>1961</v>
      </c>
      <c r="AL1408" s="3"/>
      <c r="AM1408" s="4"/>
      <c r="AN1408" s="5"/>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6"/>
      <c r="CO1408" s="7"/>
      <c r="CP1408" s="6"/>
      <c r="CQ1408" s="7"/>
      <c r="CR1408" s="6"/>
      <c r="CS1408" s="7"/>
      <c r="CT1408" s="8">
        <f t="shared" ref="CT1408:CT1439" si="357">AM1408+AO1408+AQ1408+AS1408+AU1408+AW1408+AY1408+BA1408+BC1408+BE1408+BG1408+BI1408+BK1408+BM1408+BO1408+BQ1408+BS1408+BU1408+BW1408+BY1408+CA1408+CC1408+CE1408+CG1408+CI1408+CK1408+CM1408+CO1408+CQ1408+CS1408</f>
        <v>0</v>
      </c>
      <c r="CU1408" s="9"/>
      <c r="CV1408" s="10"/>
      <c r="CW1408" s="11"/>
      <c r="CX1408" s="12"/>
      <c r="CY1408" s="26"/>
      <c r="CZ1408" s="12"/>
      <c r="DA1408" s="9"/>
      <c r="DB1408" s="10"/>
      <c r="DC1408" s="64"/>
      <c r="DD1408" s="22"/>
    </row>
    <row r="1409" spans="1:108" s="119" customFormat="1" ht="45" outlineLevel="2">
      <c r="A1409" s="178">
        <v>40276</v>
      </c>
      <c r="B1409" s="82" t="s">
        <v>905</v>
      </c>
      <c r="C1409" s="82" t="s">
        <v>934</v>
      </c>
      <c r="D1409" s="165" t="s">
        <v>1262</v>
      </c>
      <c r="E1409" s="167"/>
      <c r="F1409" s="66"/>
      <c r="G1409" s="66"/>
      <c r="H1409" s="66">
        <v>253</v>
      </c>
      <c r="I1409" s="66">
        <v>113</v>
      </c>
      <c r="J1409" s="66"/>
      <c r="K1409" s="66">
        <v>93</v>
      </c>
      <c r="L1409" s="66"/>
      <c r="M1409" s="66"/>
      <c r="N1409" s="66"/>
      <c r="O1409" s="66"/>
      <c r="P1409" s="66"/>
      <c r="Q1409" s="66"/>
      <c r="R1409" s="66">
        <v>1</v>
      </c>
      <c r="S1409" s="66"/>
      <c r="T1409" s="67"/>
      <c r="U1409" s="151"/>
      <c r="V1409" s="1">
        <v>40330</v>
      </c>
      <c r="W1409" s="68">
        <f t="shared" si="352"/>
        <v>75125000</v>
      </c>
      <c r="X1409" s="68">
        <f t="shared" si="353"/>
        <v>12750000</v>
      </c>
      <c r="Y1409" s="68">
        <f t="shared" si="354"/>
        <v>0</v>
      </c>
      <c r="Z1409" s="68">
        <f t="shared" si="355"/>
        <v>0</v>
      </c>
      <c r="AA1409" s="68"/>
      <c r="AB1409" s="68">
        <v>0</v>
      </c>
      <c r="AC1409" s="69">
        <f t="shared" si="356"/>
        <v>87875000</v>
      </c>
      <c r="AD1409" s="70">
        <v>0</v>
      </c>
      <c r="AE1409" s="63">
        <v>40284</v>
      </c>
      <c r="AF1409" s="79" t="s">
        <v>1704</v>
      </c>
      <c r="AG1409" s="63" t="s">
        <v>954</v>
      </c>
      <c r="AH1409" s="23" t="s">
        <v>955</v>
      </c>
      <c r="AI1409" s="75" t="s">
        <v>1156</v>
      </c>
      <c r="AJ1409" s="133" t="s">
        <v>415</v>
      </c>
      <c r="AK1409" s="73" t="s">
        <v>1696</v>
      </c>
      <c r="AL1409" s="3"/>
      <c r="AM1409" s="4"/>
      <c r="AN1409" s="5"/>
      <c r="AO1409" s="4"/>
      <c r="AP1409" s="4"/>
      <c r="AQ1409" s="4"/>
      <c r="AR1409" s="4"/>
      <c r="AS1409" s="4"/>
      <c r="AT1409" s="4"/>
      <c r="AU1409" s="4"/>
      <c r="AV1409" s="4"/>
      <c r="AW1409" s="4"/>
      <c r="AX1409" s="4">
        <v>450</v>
      </c>
      <c r="AY1409" s="4">
        <f>450*56000</f>
        <v>25200000</v>
      </c>
      <c r="AZ1409" s="4">
        <v>500</v>
      </c>
      <c r="BA1409" s="4">
        <f>500*56000</f>
        <v>28000000</v>
      </c>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v>500</v>
      </c>
      <c r="CI1409" s="4">
        <f>500*21500</f>
        <v>10750000</v>
      </c>
      <c r="CJ1409" s="4"/>
      <c r="CK1409" s="4"/>
      <c r="CL1409" s="4"/>
      <c r="CM1409" s="4"/>
      <c r="CN1409" s="6">
        <v>150</v>
      </c>
      <c r="CO1409" s="7">
        <f>150*38500</f>
        <v>5775000</v>
      </c>
      <c r="CP1409" s="6">
        <v>150</v>
      </c>
      <c r="CQ1409" s="7">
        <f>150*36000</f>
        <v>5400000</v>
      </c>
      <c r="CR1409" s="6"/>
      <c r="CS1409" s="7"/>
      <c r="CT1409" s="8">
        <f t="shared" si="357"/>
        <v>75125000</v>
      </c>
      <c r="CU1409" s="9"/>
      <c r="CV1409" s="10"/>
      <c r="CW1409" s="11">
        <v>150</v>
      </c>
      <c r="CX1409" s="12">
        <f>150*85000</f>
        <v>12750000</v>
      </c>
      <c r="CY1409" s="26"/>
      <c r="CZ1409" s="12"/>
      <c r="DA1409" s="9"/>
      <c r="DB1409" s="10"/>
      <c r="DC1409" s="64"/>
      <c r="DD1409" s="22"/>
    </row>
    <row r="1410" spans="1:108" s="119" customFormat="1" ht="24" outlineLevel="2">
      <c r="A1410" s="178">
        <v>40276</v>
      </c>
      <c r="B1410" s="82" t="s">
        <v>905</v>
      </c>
      <c r="C1410" s="82" t="s">
        <v>1700</v>
      </c>
      <c r="D1410" s="165" t="s">
        <v>1182</v>
      </c>
      <c r="E1410" s="167"/>
      <c r="F1410" s="66"/>
      <c r="G1410" s="66"/>
      <c r="H1410" s="66"/>
      <c r="I1410" s="66"/>
      <c r="J1410" s="66"/>
      <c r="K1410" s="66"/>
      <c r="L1410" s="66"/>
      <c r="M1410" s="66"/>
      <c r="N1410" s="66"/>
      <c r="O1410" s="66">
        <v>1</v>
      </c>
      <c r="P1410" s="66"/>
      <c r="Q1410" s="66"/>
      <c r="R1410" s="66"/>
      <c r="S1410" s="66"/>
      <c r="T1410" s="67"/>
      <c r="U1410" s="151"/>
      <c r="V1410" s="1"/>
      <c r="W1410" s="68">
        <f t="shared" si="352"/>
        <v>0</v>
      </c>
      <c r="X1410" s="68">
        <f t="shared" si="353"/>
        <v>0</v>
      </c>
      <c r="Y1410" s="68">
        <f t="shared" si="354"/>
        <v>0</v>
      </c>
      <c r="Z1410" s="68">
        <f t="shared" si="355"/>
        <v>0</v>
      </c>
      <c r="AA1410" s="68"/>
      <c r="AB1410" s="68">
        <v>0</v>
      </c>
      <c r="AC1410" s="69">
        <f t="shared" si="356"/>
        <v>0</v>
      </c>
      <c r="AD1410" s="70">
        <v>0</v>
      </c>
      <c r="AE1410" s="63">
        <v>40277</v>
      </c>
      <c r="AF1410" s="72"/>
      <c r="AG1410" s="63" t="s">
        <v>938</v>
      </c>
      <c r="AH1410" s="23" t="s">
        <v>939</v>
      </c>
      <c r="AI1410" s="60"/>
      <c r="AJ1410" s="133" t="s">
        <v>1608</v>
      </c>
      <c r="AK1410" s="73" t="s">
        <v>1701</v>
      </c>
      <c r="AL1410" s="3"/>
      <c r="AM1410" s="4"/>
      <c r="AN1410" s="5"/>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6"/>
      <c r="CO1410" s="7"/>
      <c r="CP1410" s="6"/>
      <c r="CQ1410" s="7"/>
      <c r="CR1410" s="6"/>
      <c r="CS1410" s="7"/>
      <c r="CT1410" s="8">
        <f t="shared" si="357"/>
        <v>0</v>
      </c>
      <c r="CU1410" s="9"/>
      <c r="CV1410" s="10"/>
      <c r="CW1410" s="11"/>
      <c r="CX1410" s="12"/>
      <c r="CY1410" s="26"/>
      <c r="CZ1410" s="12"/>
      <c r="DA1410" s="9"/>
      <c r="DB1410" s="10"/>
      <c r="DC1410" s="64"/>
      <c r="DD1410" s="22"/>
    </row>
    <row r="1411" spans="1:108" s="119" customFormat="1" outlineLevel="2">
      <c r="A1411" s="178">
        <v>40276</v>
      </c>
      <c r="B1411" s="82" t="s">
        <v>905</v>
      </c>
      <c r="C1411" s="82" t="s">
        <v>1054</v>
      </c>
      <c r="D1411" s="165" t="s">
        <v>1262</v>
      </c>
      <c r="E1411" s="167"/>
      <c r="F1411" s="66"/>
      <c r="G1411" s="66"/>
      <c r="H1411" s="66">
        <v>10</v>
      </c>
      <c r="I1411" s="66">
        <v>2</v>
      </c>
      <c r="J1411" s="66"/>
      <c r="K1411" s="66">
        <v>2</v>
      </c>
      <c r="L1411" s="66"/>
      <c r="M1411" s="66"/>
      <c r="N1411" s="66"/>
      <c r="O1411" s="66"/>
      <c r="P1411" s="66"/>
      <c r="Q1411" s="66"/>
      <c r="R1411" s="66"/>
      <c r="S1411" s="66"/>
      <c r="T1411" s="67"/>
      <c r="U1411" s="151"/>
      <c r="V1411" s="1"/>
      <c r="W1411" s="68">
        <f t="shared" si="352"/>
        <v>0</v>
      </c>
      <c r="X1411" s="68">
        <f t="shared" si="353"/>
        <v>0</v>
      </c>
      <c r="Y1411" s="68">
        <f t="shared" si="354"/>
        <v>0</v>
      </c>
      <c r="Z1411" s="68">
        <f t="shared" si="355"/>
        <v>0</v>
      </c>
      <c r="AA1411" s="68"/>
      <c r="AB1411" s="68">
        <v>0</v>
      </c>
      <c r="AC1411" s="69">
        <f t="shared" si="356"/>
        <v>0</v>
      </c>
      <c r="AD1411" s="70">
        <v>0</v>
      </c>
      <c r="AE1411" s="63">
        <v>40277</v>
      </c>
      <c r="AF1411" s="72"/>
      <c r="AG1411" s="63" t="s">
        <v>938</v>
      </c>
      <c r="AH1411" s="23" t="s">
        <v>939</v>
      </c>
      <c r="AI1411" s="60"/>
      <c r="AJ1411" s="133" t="s">
        <v>1608</v>
      </c>
      <c r="AK1411" s="73" t="s">
        <v>252</v>
      </c>
      <c r="AL1411" s="3"/>
      <c r="AM1411" s="4"/>
      <c r="AN1411" s="5"/>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6"/>
      <c r="CO1411" s="7"/>
      <c r="CP1411" s="6"/>
      <c r="CQ1411" s="7"/>
      <c r="CR1411" s="6"/>
      <c r="CS1411" s="7"/>
      <c r="CT1411" s="8">
        <f t="shared" si="357"/>
        <v>0</v>
      </c>
      <c r="CU1411" s="9"/>
      <c r="CV1411" s="10"/>
      <c r="CW1411" s="11"/>
      <c r="CX1411" s="12"/>
      <c r="CY1411" s="26"/>
      <c r="CZ1411" s="12"/>
      <c r="DA1411" s="9"/>
      <c r="DB1411" s="10"/>
      <c r="DC1411" s="64"/>
      <c r="DD1411" s="22"/>
    </row>
    <row r="1412" spans="1:108" s="119" customFormat="1" ht="56.25" outlineLevel="2">
      <c r="A1412" s="178">
        <v>40277</v>
      </c>
      <c r="B1412" s="82" t="s">
        <v>905</v>
      </c>
      <c r="C1412" s="82" t="s">
        <v>439</v>
      </c>
      <c r="D1412" s="165" t="s">
        <v>1182</v>
      </c>
      <c r="E1412" s="167"/>
      <c r="F1412" s="66"/>
      <c r="G1412" s="66"/>
      <c r="H1412" s="66"/>
      <c r="I1412" s="66"/>
      <c r="J1412" s="66"/>
      <c r="K1412" s="66"/>
      <c r="L1412" s="66"/>
      <c r="M1412" s="66"/>
      <c r="N1412" s="66"/>
      <c r="O1412" s="66">
        <v>1</v>
      </c>
      <c r="P1412" s="66"/>
      <c r="Q1412" s="66"/>
      <c r="R1412" s="66"/>
      <c r="S1412" s="66"/>
      <c r="T1412" s="67"/>
      <c r="U1412" s="151"/>
      <c r="V1412" s="1">
        <v>40295</v>
      </c>
      <c r="W1412" s="68">
        <f t="shared" si="352"/>
        <v>97180140.800000012</v>
      </c>
      <c r="X1412" s="68">
        <f t="shared" si="353"/>
        <v>24395000</v>
      </c>
      <c r="Y1412" s="68">
        <f t="shared" si="354"/>
        <v>21332400</v>
      </c>
      <c r="Z1412" s="68">
        <f t="shared" si="355"/>
        <v>0</v>
      </c>
      <c r="AA1412" s="68"/>
      <c r="AB1412" s="68">
        <v>0</v>
      </c>
      <c r="AC1412" s="69">
        <f t="shared" si="356"/>
        <v>142907540.80000001</v>
      </c>
      <c r="AD1412" s="70">
        <v>0</v>
      </c>
      <c r="AE1412" s="63">
        <v>40284</v>
      </c>
      <c r="AF1412" s="72">
        <v>96689</v>
      </c>
      <c r="AG1412" s="63" t="s">
        <v>954</v>
      </c>
      <c r="AH1412" s="23" t="s">
        <v>955</v>
      </c>
      <c r="AI1412" s="75" t="s">
        <v>534</v>
      </c>
      <c r="AJ1412" s="133" t="s">
        <v>1620</v>
      </c>
      <c r="AK1412" s="73" t="s">
        <v>1689</v>
      </c>
      <c r="AL1412" s="3"/>
      <c r="AM1412" s="4"/>
      <c r="AN1412" s="5"/>
      <c r="AO1412" s="4"/>
      <c r="AP1412" s="4"/>
      <c r="AQ1412" s="4"/>
      <c r="AR1412" s="4"/>
      <c r="AS1412" s="4"/>
      <c r="AT1412" s="4"/>
      <c r="AU1412" s="4"/>
      <c r="AV1412" s="4"/>
      <c r="AW1412" s="4"/>
      <c r="AX1412" s="4"/>
      <c r="AY1412" s="4"/>
      <c r="AZ1412" s="4">
        <v>990</v>
      </c>
      <c r="BA1412" s="4">
        <f>990*56000</f>
        <v>55440000</v>
      </c>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v>990</v>
      </c>
      <c r="CI1412" s="4">
        <f>990*20999.48</f>
        <v>20789485.199999999</v>
      </c>
      <c r="CJ1412" s="4"/>
      <c r="CK1412" s="4"/>
      <c r="CL1412" s="4"/>
      <c r="CM1412" s="4"/>
      <c r="CN1412" s="6">
        <v>287</v>
      </c>
      <c r="CO1412" s="7">
        <f>287*36999.36</f>
        <v>10618816.32</v>
      </c>
      <c r="CP1412" s="6">
        <v>287</v>
      </c>
      <c r="CQ1412" s="7">
        <f>287*35999.44</f>
        <v>10331839.280000001</v>
      </c>
      <c r="CR1412" s="6"/>
      <c r="CS1412" s="7"/>
      <c r="CT1412" s="8">
        <f t="shared" si="357"/>
        <v>97180140.800000012</v>
      </c>
      <c r="CU1412" s="9"/>
      <c r="CV1412" s="10"/>
      <c r="CW1412" s="11">
        <v>287</v>
      </c>
      <c r="CX1412" s="12">
        <f>287*85000</f>
        <v>24395000</v>
      </c>
      <c r="CY1412" s="26"/>
      <c r="CZ1412" s="12"/>
      <c r="DA1412" s="9">
        <f>150+800</f>
        <v>950</v>
      </c>
      <c r="DB1412" s="10">
        <f>150*34568+800*19140+300*556.8+3200*208.8</f>
        <v>21332400</v>
      </c>
      <c r="DC1412" s="76"/>
      <c r="DD1412" s="22"/>
    </row>
    <row r="1413" spans="1:108" s="119" customFormat="1" ht="24" outlineLevel="2">
      <c r="A1413" s="178">
        <v>40277</v>
      </c>
      <c r="B1413" s="82" t="s">
        <v>905</v>
      </c>
      <c r="C1413" s="82" t="s">
        <v>1690</v>
      </c>
      <c r="D1413" s="165" t="s">
        <v>1182</v>
      </c>
      <c r="E1413" s="167"/>
      <c r="F1413" s="66"/>
      <c r="G1413" s="66"/>
      <c r="H1413" s="66"/>
      <c r="I1413" s="66"/>
      <c r="J1413" s="66"/>
      <c r="K1413" s="66"/>
      <c r="L1413" s="66"/>
      <c r="M1413" s="66"/>
      <c r="N1413" s="66"/>
      <c r="O1413" s="66">
        <v>1</v>
      </c>
      <c r="P1413" s="66"/>
      <c r="Q1413" s="66"/>
      <c r="R1413" s="66"/>
      <c r="S1413" s="66"/>
      <c r="T1413" s="67"/>
      <c r="U1413" s="151"/>
      <c r="V1413" s="1"/>
      <c r="W1413" s="68">
        <f t="shared" si="352"/>
        <v>0</v>
      </c>
      <c r="X1413" s="68">
        <f t="shared" si="353"/>
        <v>0</v>
      </c>
      <c r="Y1413" s="68">
        <f t="shared" si="354"/>
        <v>0</v>
      </c>
      <c r="Z1413" s="68">
        <f t="shared" si="355"/>
        <v>0</v>
      </c>
      <c r="AA1413" s="68"/>
      <c r="AB1413" s="68">
        <v>0</v>
      </c>
      <c r="AC1413" s="69">
        <f t="shared" si="356"/>
        <v>0</v>
      </c>
      <c r="AD1413" s="70">
        <v>0</v>
      </c>
      <c r="AE1413" s="63">
        <v>40278</v>
      </c>
      <c r="AF1413" s="72"/>
      <c r="AG1413" s="63" t="s">
        <v>938</v>
      </c>
      <c r="AH1413" s="23" t="s">
        <v>939</v>
      </c>
      <c r="AI1413" s="60"/>
      <c r="AJ1413" s="133" t="s">
        <v>1608</v>
      </c>
      <c r="AK1413" s="73" t="s">
        <v>1691</v>
      </c>
      <c r="AL1413" s="3"/>
      <c r="AM1413" s="4"/>
      <c r="AN1413" s="5"/>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6"/>
      <c r="CO1413" s="7"/>
      <c r="CP1413" s="6"/>
      <c r="CQ1413" s="7"/>
      <c r="CR1413" s="6"/>
      <c r="CS1413" s="7"/>
      <c r="CT1413" s="8">
        <f t="shared" si="357"/>
        <v>0</v>
      </c>
      <c r="CU1413" s="9"/>
      <c r="CV1413" s="10"/>
      <c r="CW1413" s="11"/>
      <c r="CX1413" s="12"/>
      <c r="CY1413" s="26"/>
      <c r="CZ1413" s="12"/>
      <c r="DA1413" s="9"/>
      <c r="DB1413" s="10"/>
      <c r="DC1413" s="64"/>
      <c r="DD1413" s="22"/>
    </row>
    <row r="1414" spans="1:108" s="119" customFormat="1" ht="45" outlineLevel="2">
      <c r="A1414" s="178">
        <v>40278</v>
      </c>
      <c r="B1414" s="82" t="s">
        <v>905</v>
      </c>
      <c r="C1414" s="82" t="s">
        <v>1196</v>
      </c>
      <c r="D1414" s="165" t="s">
        <v>435</v>
      </c>
      <c r="E1414" s="167"/>
      <c r="F1414" s="66"/>
      <c r="G1414" s="66"/>
      <c r="H1414" s="66">
        <v>400</v>
      </c>
      <c r="I1414" s="66">
        <v>80</v>
      </c>
      <c r="J1414" s="66"/>
      <c r="K1414" s="66">
        <v>80</v>
      </c>
      <c r="L1414" s="66"/>
      <c r="M1414" s="66"/>
      <c r="N1414" s="66"/>
      <c r="O1414" s="66"/>
      <c r="P1414" s="66"/>
      <c r="Q1414" s="66"/>
      <c r="R1414" s="66"/>
      <c r="S1414" s="66"/>
      <c r="T1414" s="67"/>
      <c r="U1414" s="151"/>
      <c r="V1414" s="1">
        <v>40295</v>
      </c>
      <c r="W1414" s="68">
        <f t="shared" si="352"/>
        <v>16479862.399999999</v>
      </c>
      <c r="X1414" s="68">
        <f t="shared" si="353"/>
        <v>6800000</v>
      </c>
      <c r="Y1414" s="68">
        <f t="shared" si="354"/>
        <v>9987600</v>
      </c>
      <c r="Z1414" s="68">
        <f t="shared" si="355"/>
        <v>0</v>
      </c>
      <c r="AA1414" s="68"/>
      <c r="AB1414" s="68">
        <v>0</v>
      </c>
      <c r="AC1414" s="69">
        <f t="shared" si="356"/>
        <v>33267462.399999999</v>
      </c>
      <c r="AD1414" s="70">
        <v>0</v>
      </c>
      <c r="AE1414" s="63">
        <v>40284</v>
      </c>
      <c r="AF1414" s="72">
        <v>96689</v>
      </c>
      <c r="AG1414" s="63" t="s">
        <v>954</v>
      </c>
      <c r="AH1414" s="23" t="s">
        <v>955</v>
      </c>
      <c r="AI1414" s="75" t="s">
        <v>534</v>
      </c>
      <c r="AJ1414" s="133" t="s">
        <v>1621</v>
      </c>
      <c r="AK1414" s="73" t="s">
        <v>1890</v>
      </c>
      <c r="AL1414" s="3"/>
      <c r="AM1414" s="4"/>
      <c r="AN1414" s="5"/>
      <c r="AO1414" s="4"/>
      <c r="AP1414" s="4"/>
      <c r="AQ1414" s="4"/>
      <c r="AR1414" s="4"/>
      <c r="AS1414" s="4"/>
      <c r="AT1414" s="4"/>
      <c r="AU1414" s="4"/>
      <c r="AV1414" s="4"/>
      <c r="AW1414" s="4"/>
      <c r="AX1414" s="4"/>
      <c r="AY1414" s="4"/>
      <c r="AZ1414" s="4">
        <v>160</v>
      </c>
      <c r="BA1414" s="4">
        <f>160*56000</f>
        <v>8960000</v>
      </c>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v>80</v>
      </c>
      <c r="CI1414" s="4">
        <f>80*20999.48</f>
        <v>1679958.4</v>
      </c>
      <c r="CJ1414" s="4"/>
      <c r="CK1414" s="4"/>
      <c r="CL1414" s="4"/>
      <c r="CM1414" s="4"/>
      <c r="CN1414" s="6">
        <v>80</v>
      </c>
      <c r="CO1414" s="7">
        <f>80*36999.36</f>
        <v>2959948.8</v>
      </c>
      <c r="CP1414" s="6">
        <v>80</v>
      </c>
      <c r="CQ1414" s="7">
        <f>80*35999.44</f>
        <v>2879955.2</v>
      </c>
      <c r="CR1414" s="6"/>
      <c r="CS1414" s="7"/>
      <c r="CT1414" s="8">
        <f t="shared" si="357"/>
        <v>16479862.399999999</v>
      </c>
      <c r="CU1414" s="9"/>
      <c r="CV1414" s="10"/>
      <c r="CW1414" s="11">
        <v>80</v>
      </c>
      <c r="CX1414" s="12">
        <f>80*85000</f>
        <v>6800000</v>
      </c>
      <c r="CY1414" s="26"/>
      <c r="CZ1414" s="12"/>
      <c r="DA1414" s="9">
        <v>500</v>
      </c>
      <c r="DB1414" s="10">
        <f>500*19140+2000*208.8</f>
        <v>9987600</v>
      </c>
      <c r="DC1414" s="76"/>
      <c r="DD1414" s="22"/>
    </row>
    <row r="1415" spans="1:108" s="119" customFormat="1" ht="36" outlineLevel="2">
      <c r="A1415" s="178">
        <v>40278</v>
      </c>
      <c r="B1415" s="82" t="s">
        <v>905</v>
      </c>
      <c r="C1415" s="82" t="s">
        <v>1196</v>
      </c>
      <c r="D1415" s="165" t="s">
        <v>1182</v>
      </c>
      <c r="E1415" s="167">
        <v>1</v>
      </c>
      <c r="F1415" s="66"/>
      <c r="G1415" s="66"/>
      <c r="H1415" s="66"/>
      <c r="I1415" s="66"/>
      <c r="J1415" s="66"/>
      <c r="K1415" s="66"/>
      <c r="L1415" s="66"/>
      <c r="M1415" s="66"/>
      <c r="N1415" s="66"/>
      <c r="O1415" s="66"/>
      <c r="P1415" s="66"/>
      <c r="Q1415" s="66"/>
      <c r="R1415" s="66"/>
      <c r="S1415" s="66"/>
      <c r="T1415" s="67"/>
      <c r="U1415" s="151"/>
      <c r="V1415" s="1"/>
      <c r="W1415" s="68">
        <f t="shared" si="352"/>
        <v>0</v>
      </c>
      <c r="X1415" s="68">
        <f t="shared" si="353"/>
        <v>0</v>
      </c>
      <c r="Y1415" s="68">
        <f t="shared" si="354"/>
        <v>0</v>
      </c>
      <c r="Z1415" s="68">
        <f t="shared" si="355"/>
        <v>0</v>
      </c>
      <c r="AA1415" s="68"/>
      <c r="AB1415" s="68">
        <v>0</v>
      </c>
      <c r="AC1415" s="69">
        <f t="shared" si="356"/>
        <v>0</v>
      </c>
      <c r="AD1415" s="70">
        <v>0</v>
      </c>
      <c r="AE1415" s="63">
        <v>40280</v>
      </c>
      <c r="AF1415" s="72"/>
      <c r="AG1415" s="63" t="s">
        <v>938</v>
      </c>
      <c r="AH1415" s="23" t="s">
        <v>939</v>
      </c>
      <c r="AI1415" s="60"/>
      <c r="AJ1415" s="133" t="s">
        <v>1608</v>
      </c>
      <c r="AK1415" s="73" t="s">
        <v>524</v>
      </c>
      <c r="AL1415" s="3"/>
      <c r="AM1415" s="4"/>
      <c r="AN1415" s="5"/>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6"/>
      <c r="CO1415" s="7"/>
      <c r="CP1415" s="6"/>
      <c r="CQ1415" s="7"/>
      <c r="CR1415" s="6"/>
      <c r="CS1415" s="7"/>
      <c r="CT1415" s="8">
        <f t="shared" si="357"/>
        <v>0</v>
      </c>
      <c r="CU1415" s="9"/>
      <c r="CV1415" s="10"/>
      <c r="CW1415" s="11"/>
      <c r="CX1415" s="12"/>
      <c r="CY1415" s="26"/>
      <c r="CZ1415" s="12"/>
      <c r="DA1415" s="9"/>
      <c r="DB1415" s="10"/>
      <c r="DC1415" s="64"/>
      <c r="DD1415" s="22"/>
    </row>
    <row r="1416" spans="1:108" s="119" customFormat="1" ht="24" outlineLevel="2">
      <c r="A1416" s="178">
        <v>40279</v>
      </c>
      <c r="B1416" s="82" t="s">
        <v>905</v>
      </c>
      <c r="C1416" s="82" t="s">
        <v>1891</v>
      </c>
      <c r="D1416" s="165" t="s">
        <v>435</v>
      </c>
      <c r="E1416" s="167"/>
      <c r="F1416" s="66"/>
      <c r="G1416" s="66"/>
      <c r="H1416" s="66">
        <v>65</v>
      </c>
      <c r="I1416" s="66">
        <v>13</v>
      </c>
      <c r="J1416" s="66"/>
      <c r="K1416" s="66">
        <v>13</v>
      </c>
      <c r="L1416" s="66"/>
      <c r="M1416" s="66"/>
      <c r="N1416" s="66"/>
      <c r="O1416" s="66"/>
      <c r="P1416" s="66"/>
      <c r="Q1416" s="66"/>
      <c r="R1416" s="66"/>
      <c r="S1416" s="66"/>
      <c r="T1416" s="67"/>
      <c r="U1416" s="151"/>
      <c r="V1416" s="1"/>
      <c r="W1416" s="68">
        <f t="shared" si="352"/>
        <v>0</v>
      </c>
      <c r="X1416" s="68">
        <f t="shared" si="353"/>
        <v>0</v>
      </c>
      <c r="Y1416" s="68">
        <f t="shared" si="354"/>
        <v>0</v>
      </c>
      <c r="Z1416" s="68">
        <f t="shared" si="355"/>
        <v>0</v>
      </c>
      <c r="AA1416" s="68"/>
      <c r="AB1416" s="68">
        <v>0</v>
      </c>
      <c r="AC1416" s="69">
        <f t="shared" si="356"/>
        <v>0</v>
      </c>
      <c r="AD1416" s="70">
        <v>0</v>
      </c>
      <c r="AE1416" s="63">
        <v>40280</v>
      </c>
      <c r="AF1416" s="72"/>
      <c r="AG1416" s="63" t="s">
        <v>938</v>
      </c>
      <c r="AH1416" s="23" t="s">
        <v>939</v>
      </c>
      <c r="AI1416" s="60"/>
      <c r="AJ1416" s="133" t="s">
        <v>1608</v>
      </c>
      <c r="AK1416" s="73" t="s">
        <v>968</v>
      </c>
      <c r="AL1416" s="3"/>
      <c r="AM1416" s="4"/>
      <c r="AN1416" s="5"/>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6"/>
      <c r="CO1416" s="7"/>
      <c r="CP1416" s="6"/>
      <c r="CQ1416" s="7"/>
      <c r="CR1416" s="6"/>
      <c r="CS1416" s="7"/>
      <c r="CT1416" s="8">
        <f t="shared" si="357"/>
        <v>0</v>
      </c>
      <c r="CU1416" s="9"/>
      <c r="CV1416" s="10"/>
      <c r="CW1416" s="11"/>
      <c r="CX1416" s="12"/>
      <c r="CY1416" s="26"/>
      <c r="CZ1416" s="12"/>
      <c r="DA1416" s="9"/>
      <c r="DB1416" s="10"/>
      <c r="DC1416" s="64"/>
      <c r="DD1416" s="22"/>
    </row>
    <row r="1417" spans="1:108" s="119" customFormat="1" ht="24" outlineLevel="2">
      <c r="A1417" s="178">
        <v>40281</v>
      </c>
      <c r="B1417" s="82" t="s">
        <v>905</v>
      </c>
      <c r="C1417" s="82" t="s">
        <v>876</v>
      </c>
      <c r="D1417" s="165" t="s">
        <v>1182</v>
      </c>
      <c r="E1417" s="167"/>
      <c r="F1417" s="66"/>
      <c r="G1417" s="66"/>
      <c r="H1417" s="66">
        <v>10</v>
      </c>
      <c r="I1417" s="66">
        <v>2</v>
      </c>
      <c r="J1417" s="66"/>
      <c r="K1417" s="66">
        <v>2</v>
      </c>
      <c r="L1417" s="66"/>
      <c r="M1417" s="66"/>
      <c r="N1417" s="66"/>
      <c r="O1417" s="66"/>
      <c r="P1417" s="66"/>
      <c r="Q1417" s="66"/>
      <c r="R1417" s="66"/>
      <c r="S1417" s="66"/>
      <c r="T1417" s="67"/>
      <c r="U1417" s="151"/>
      <c r="V1417" s="1"/>
      <c r="W1417" s="68">
        <f t="shared" si="352"/>
        <v>0</v>
      </c>
      <c r="X1417" s="68">
        <f t="shared" si="353"/>
        <v>0</v>
      </c>
      <c r="Y1417" s="68">
        <f t="shared" si="354"/>
        <v>0</v>
      </c>
      <c r="Z1417" s="68">
        <f t="shared" si="355"/>
        <v>0</v>
      </c>
      <c r="AA1417" s="68"/>
      <c r="AB1417" s="68">
        <v>0</v>
      </c>
      <c r="AC1417" s="69">
        <f t="shared" si="356"/>
        <v>0</v>
      </c>
      <c r="AD1417" s="70">
        <v>0</v>
      </c>
      <c r="AE1417" s="63">
        <v>40282</v>
      </c>
      <c r="AF1417" s="72"/>
      <c r="AG1417" s="63" t="s">
        <v>938</v>
      </c>
      <c r="AH1417" s="23" t="s">
        <v>939</v>
      </c>
      <c r="AI1417" s="60"/>
      <c r="AJ1417" s="133" t="s">
        <v>1608</v>
      </c>
      <c r="AK1417" s="73" t="s">
        <v>1680</v>
      </c>
      <c r="AL1417" s="3"/>
      <c r="AM1417" s="4"/>
      <c r="AN1417" s="5"/>
      <c r="AO1417" s="4"/>
      <c r="AP1417" s="4"/>
      <c r="AQ1417" s="4"/>
      <c r="AR1417" s="4"/>
      <c r="AS1417" s="4"/>
      <c r="AT1417" s="4"/>
      <c r="AU1417" s="4"/>
      <c r="AV1417" s="4"/>
      <c r="AW1417" s="4"/>
      <c r="AX1417" s="4"/>
      <c r="AY1417" s="4"/>
      <c r="AZ1417" s="4"/>
      <c r="BA1417" s="4"/>
      <c r="BB1417" s="4"/>
      <c r="BC1417" s="4"/>
      <c r="BD1417" s="4"/>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c r="CA1417" s="4"/>
      <c r="CB1417" s="4"/>
      <c r="CC1417" s="4"/>
      <c r="CD1417" s="4"/>
      <c r="CE1417" s="4"/>
      <c r="CF1417" s="4"/>
      <c r="CG1417" s="4"/>
      <c r="CH1417" s="4"/>
      <c r="CI1417" s="4"/>
      <c r="CJ1417" s="4"/>
      <c r="CK1417" s="4"/>
      <c r="CL1417" s="4"/>
      <c r="CM1417" s="4"/>
      <c r="CN1417" s="6"/>
      <c r="CO1417" s="7"/>
      <c r="CP1417" s="6"/>
      <c r="CQ1417" s="7"/>
      <c r="CR1417" s="6"/>
      <c r="CS1417" s="7"/>
      <c r="CT1417" s="8">
        <f t="shared" si="357"/>
        <v>0</v>
      </c>
      <c r="CU1417" s="9"/>
      <c r="CV1417" s="10"/>
      <c r="CW1417" s="11"/>
      <c r="CX1417" s="12"/>
      <c r="CY1417" s="26"/>
      <c r="CZ1417" s="12"/>
      <c r="DA1417" s="9"/>
      <c r="DB1417" s="10"/>
      <c r="DC1417" s="64"/>
      <c r="DD1417" s="22"/>
    </row>
    <row r="1418" spans="1:108" s="119" customFormat="1" ht="108" outlineLevel="2">
      <c r="A1418" s="178">
        <v>40281</v>
      </c>
      <c r="B1418" s="82" t="s">
        <v>905</v>
      </c>
      <c r="C1418" s="82" t="s">
        <v>934</v>
      </c>
      <c r="D1418" s="165" t="s">
        <v>1262</v>
      </c>
      <c r="E1418" s="167"/>
      <c r="F1418" s="66"/>
      <c r="G1418" s="66"/>
      <c r="H1418" s="66">
        <v>3071</v>
      </c>
      <c r="I1418" s="66">
        <v>539</v>
      </c>
      <c r="J1418" s="66">
        <v>47</v>
      </c>
      <c r="K1418" s="66">
        <v>492</v>
      </c>
      <c r="L1418" s="66"/>
      <c r="M1418" s="66"/>
      <c r="N1418" s="66">
        <v>2</v>
      </c>
      <c r="O1418" s="66"/>
      <c r="P1418" s="66"/>
      <c r="Q1418" s="66"/>
      <c r="R1418" s="66"/>
      <c r="S1418" s="66"/>
      <c r="T1418" s="67"/>
      <c r="U1418" s="151"/>
      <c r="V1418" s="1"/>
      <c r="W1418" s="68">
        <f t="shared" si="352"/>
        <v>0</v>
      </c>
      <c r="X1418" s="68">
        <f t="shared" si="353"/>
        <v>0</v>
      </c>
      <c r="Y1418" s="68">
        <f t="shared" si="354"/>
        <v>0</v>
      </c>
      <c r="Z1418" s="68">
        <f t="shared" si="355"/>
        <v>0</v>
      </c>
      <c r="AA1418" s="68"/>
      <c r="AB1418" s="68">
        <v>0</v>
      </c>
      <c r="AC1418" s="69">
        <f t="shared" si="356"/>
        <v>0</v>
      </c>
      <c r="AD1418" s="70">
        <v>0</v>
      </c>
      <c r="AE1418" s="63">
        <v>40282</v>
      </c>
      <c r="AF1418" s="72"/>
      <c r="AG1418" s="63" t="s">
        <v>938</v>
      </c>
      <c r="AH1418" s="23" t="s">
        <v>939</v>
      </c>
      <c r="AI1418" s="60"/>
      <c r="AJ1418" s="133" t="s">
        <v>1608</v>
      </c>
      <c r="AK1418" s="73" t="s">
        <v>847</v>
      </c>
      <c r="AL1418" s="3"/>
      <c r="AM1418" s="4"/>
      <c r="AN1418" s="5"/>
      <c r="AO1418" s="4"/>
      <c r="AP1418" s="4"/>
      <c r="AQ1418" s="4"/>
      <c r="AR1418" s="4"/>
      <c r="AS1418" s="4"/>
      <c r="AT1418" s="4"/>
      <c r="AU1418" s="4"/>
      <c r="AV1418" s="4"/>
      <c r="AW1418" s="4"/>
      <c r="AX1418" s="4"/>
      <c r="AY1418" s="4"/>
      <c r="AZ1418" s="4"/>
      <c r="BA1418" s="4"/>
      <c r="BB1418" s="4"/>
      <c r="BC1418" s="4"/>
      <c r="BD1418" s="4"/>
      <c r="BE1418" s="4"/>
      <c r="BF1418" s="4"/>
      <c r="BG1418" s="4"/>
      <c r="BH1418" s="4"/>
      <c r="BI1418" s="4"/>
      <c r="BJ1418" s="4"/>
      <c r="BK1418" s="4"/>
      <c r="BL1418" s="4"/>
      <c r="BM1418" s="4"/>
      <c r="BN1418" s="4"/>
      <c r="BO1418" s="4"/>
      <c r="BP1418" s="4"/>
      <c r="BQ1418" s="4"/>
      <c r="BR1418" s="4"/>
      <c r="BS1418" s="4"/>
      <c r="BT1418" s="4"/>
      <c r="BU1418" s="4"/>
      <c r="BV1418" s="4"/>
      <c r="BW1418" s="4"/>
      <c r="BX1418" s="4"/>
      <c r="BY1418" s="4"/>
      <c r="BZ1418" s="4"/>
      <c r="CA1418" s="4"/>
      <c r="CB1418" s="4"/>
      <c r="CC1418" s="4"/>
      <c r="CD1418" s="4"/>
      <c r="CE1418" s="4"/>
      <c r="CF1418" s="4"/>
      <c r="CG1418" s="4"/>
      <c r="CH1418" s="4"/>
      <c r="CI1418" s="4"/>
      <c r="CJ1418" s="4"/>
      <c r="CK1418" s="4"/>
      <c r="CL1418" s="4"/>
      <c r="CM1418" s="4"/>
      <c r="CN1418" s="6"/>
      <c r="CO1418" s="7"/>
      <c r="CP1418" s="6"/>
      <c r="CQ1418" s="7"/>
      <c r="CR1418" s="6"/>
      <c r="CS1418" s="7"/>
      <c r="CT1418" s="8">
        <f t="shared" si="357"/>
        <v>0</v>
      </c>
      <c r="CU1418" s="9"/>
      <c r="CV1418" s="10"/>
      <c r="CW1418" s="11"/>
      <c r="CX1418" s="12"/>
      <c r="CY1418" s="26"/>
      <c r="CZ1418" s="12"/>
      <c r="DA1418" s="9"/>
      <c r="DB1418" s="10"/>
      <c r="DC1418" s="64"/>
      <c r="DD1418" s="22"/>
    </row>
    <row r="1419" spans="1:108" s="119" customFormat="1" ht="132" outlineLevel="2">
      <c r="A1419" s="178">
        <v>40281</v>
      </c>
      <c r="B1419" s="82" t="s">
        <v>905</v>
      </c>
      <c r="C1419" s="82" t="s">
        <v>1951</v>
      </c>
      <c r="D1419" s="165" t="s">
        <v>1262</v>
      </c>
      <c r="E1419" s="167"/>
      <c r="F1419" s="66"/>
      <c r="G1419" s="66"/>
      <c r="H1419" s="66">
        <f>171*5</f>
        <v>855</v>
      </c>
      <c r="I1419" s="66">
        <v>171</v>
      </c>
      <c r="J1419" s="66"/>
      <c r="K1419" s="66">
        <v>171</v>
      </c>
      <c r="L1419" s="66">
        <v>1</v>
      </c>
      <c r="M1419" s="66"/>
      <c r="N1419" s="66"/>
      <c r="O1419" s="66"/>
      <c r="P1419" s="66"/>
      <c r="Q1419" s="66"/>
      <c r="R1419" s="66">
        <v>1</v>
      </c>
      <c r="S1419" s="66"/>
      <c r="T1419" s="67"/>
      <c r="U1419" s="151" t="s">
        <v>414</v>
      </c>
      <c r="V1419" s="1">
        <v>40354</v>
      </c>
      <c r="W1419" s="68">
        <f t="shared" si="352"/>
        <v>41211000</v>
      </c>
      <c r="X1419" s="68">
        <f t="shared" si="353"/>
        <v>14535000</v>
      </c>
      <c r="Y1419" s="68">
        <f t="shared" si="354"/>
        <v>0</v>
      </c>
      <c r="Z1419" s="68">
        <f t="shared" si="355"/>
        <v>0</v>
      </c>
      <c r="AA1419" s="68"/>
      <c r="AB1419" s="68">
        <v>0</v>
      </c>
      <c r="AC1419" s="69">
        <f t="shared" si="356"/>
        <v>55746000</v>
      </c>
      <c r="AD1419" s="70">
        <v>0</v>
      </c>
      <c r="AE1419" s="63">
        <v>40330</v>
      </c>
      <c r="AF1419" s="72">
        <v>97944</v>
      </c>
      <c r="AG1419" s="63" t="s">
        <v>954</v>
      </c>
      <c r="AH1419" s="23" t="s">
        <v>955</v>
      </c>
      <c r="AI1419" s="75" t="s">
        <v>979</v>
      </c>
      <c r="AJ1419" s="133" t="s">
        <v>415</v>
      </c>
      <c r="AK1419" s="73" t="s">
        <v>1717</v>
      </c>
      <c r="AL1419" s="3"/>
      <c r="AM1419" s="4"/>
      <c r="AN1419" s="5"/>
      <c r="AO1419" s="4"/>
      <c r="AP1419" s="4"/>
      <c r="AQ1419" s="4"/>
      <c r="AR1419" s="4"/>
      <c r="AS1419" s="4"/>
      <c r="AT1419" s="4"/>
      <c r="AU1419" s="4"/>
      <c r="AV1419" s="4"/>
      <c r="AW1419" s="4"/>
      <c r="AX1419" s="4">
        <v>513</v>
      </c>
      <c r="AY1419" s="4">
        <f>513*56000</f>
        <v>28728000</v>
      </c>
      <c r="AZ1419" s="4"/>
      <c r="BA1419" s="4"/>
      <c r="BB1419" s="4"/>
      <c r="BC1419" s="4"/>
      <c r="BD1419" s="4"/>
      <c r="BE1419" s="4"/>
      <c r="BF1419" s="4"/>
      <c r="BG1419" s="4"/>
      <c r="BH1419" s="4"/>
      <c r="BI1419" s="4"/>
      <c r="BJ1419" s="4"/>
      <c r="BK1419" s="4"/>
      <c r="BL1419" s="4"/>
      <c r="BM1419" s="4"/>
      <c r="BN1419" s="4"/>
      <c r="BO1419" s="4"/>
      <c r="BP1419" s="4"/>
      <c r="BQ1419" s="4"/>
      <c r="BR1419" s="4"/>
      <c r="BS1419" s="4"/>
      <c r="BT1419" s="4"/>
      <c r="BU1419" s="4"/>
      <c r="BV1419" s="4"/>
      <c r="BW1419" s="4"/>
      <c r="BX1419" s="4"/>
      <c r="BY1419" s="4"/>
      <c r="BZ1419" s="4"/>
      <c r="CA1419" s="4"/>
      <c r="CB1419" s="4"/>
      <c r="CC1419" s="4"/>
      <c r="CD1419" s="4"/>
      <c r="CE1419" s="4"/>
      <c r="CF1419" s="4"/>
      <c r="CG1419" s="4"/>
      <c r="CH1419" s="4"/>
      <c r="CI1419" s="4"/>
      <c r="CJ1419" s="4"/>
      <c r="CK1419" s="4"/>
      <c r="CL1419" s="4"/>
      <c r="CM1419" s="4"/>
      <c r="CN1419" s="6">
        <v>171</v>
      </c>
      <c r="CO1419" s="7">
        <f>171*37000</f>
        <v>6327000</v>
      </c>
      <c r="CP1419" s="6">
        <v>171</v>
      </c>
      <c r="CQ1419" s="7">
        <f>171*36000</f>
        <v>6156000</v>
      </c>
      <c r="CR1419" s="6"/>
      <c r="CS1419" s="7"/>
      <c r="CT1419" s="8">
        <f t="shared" si="357"/>
        <v>41211000</v>
      </c>
      <c r="CU1419" s="9"/>
      <c r="CV1419" s="10"/>
      <c r="CW1419" s="11">
        <v>171</v>
      </c>
      <c r="CX1419" s="12">
        <f>171*85000</f>
        <v>14535000</v>
      </c>
      <c r="CY1419" s="26"/>
      <c r="CZ1419" s="12"/>
      <c r="DA1419" s="9"/>
      <c r="DB1419" s="10"/>
      <c r="DC1419" s="64"/>
      <c r="DD1419" s="22"/>
    </row>
    <row r="1420" spans="1:108" s="119" customFormat="1" ht="24" outlineLevel="2">
      <c r="A1420" s="178">
        <v>40281</v>
      </c>
      <c r="B1420" s="82" t="s">
        <v>905</v>
      </c>
      <c r="C1420" s="82" t="s">
        <v>906</v>
      </c>
      <c r="D1420" s="165" t="s">
        <v>1182</v>
      </c>
      <c r="E1420" s="167"/>
      <c r="F1420" s="66"/>
      <c r="G1420" s="66"/>
      <c r="H1420" s="66"/>
      <c r="I1420" s="66"/>
      <c r="J1420" s="66"/>
      <c r="K1420" s="66"/>
      <c r="L1420" s="66">
        <v>1</v>
      </c>
      <c r="M1420" s="66"/>
      <c r="N1420" s="66"/>
      <c r="O1420" s="66"/>
      <c r="P1420" s="66"/>
      <c r="Q1420" s="66"/>
      <c r="R1420" s="66"/>
      <c r="S1420" s="66"/>
      <c r="T1420" s="67"/>
      <c r="U1420" s="151"/>
      <c r="V1420" s="1"/>
      <c r="W1420" s="68">
        <f t="shared" si="352"/>
        <v>0</v>
      </c>
      <c r="X1420" s="68">
        <f t="shared" si="353"/>
        <v>0</v>
      </c>
      <c r="Y1420" s="68">
        <f t="shared" si="354"/>
        <v>0</v>
      </c>
      <c r="Z1420" s="68">
        <f t="shared" si="355"/>
        <v>0</v>
      </c>
      <c r="AA1420" s="68"/>
      <c r="AB1420" s="68">
        <v>0</v>
      </c>
      <c r="AC1420" s="69">
        <f t="shared" si="356"/>
        <v>0</v>
      </c>
      <c r="AD1420" s="70">
        <v>0</v>
      </c>
      <c r="AE1420" s="63">
        <v>40282</v>
      </c>
      <c r="AF1420" s="72"/>
      <c r="AG1420" s="63" t="s">
        <v>938</v>
      </c>
      <c r="AH1420" s="23" t="s">
        <v>939</v>
      </c>
      <c r="AI1420" s="60"/>
      <c r="AJ1420" s="133" t="s">
        <v>1608</v>
      </c>
      <c r="AK1420" s="73" t="s">
        <v>875</v>
      </c>
      <c r="AL1420" s="3"/>
      <c r="AM1420" s="4"/>
      <c r="AN1420" s="5"/>
      <c r="AO1420" s="4"/>
      <c r="AP1420" s="4"/>
      <c r="AQ1420" s="4"/>
      <c r="AR1420" s="4"/>
      <c r="AS1420" s="4"/>
      <c r="AT1420" s="4"/>
      <c r="AU1420" s="4"/>
      <c r="AV1420" s="4"/>
      <c r="AW1420" s="4"/>
      <c r="AX1420" s="4"/>
      <c r="AY1420" s="4"/>
      <c r="AZ1420" s="4"/>
      <c r="BA1420" s="4"/>
      <c r="BB1420" s="4"/>
      <c r="BC1420" s="4"/>
      <c r="BD1420" s="4"/>
      <c r="BE1420" s="4"/>
      <c r="BF1420" s="4"/>
      <c r="BG1420" s="4"/>
      <c r="BH1420" s="4"/>
      <c r="BI1420" s="4"/>
      <c r="BJ1420" s="4"/>
      <c r="BK1420" s="4"/>
      <c r="BL1420" s="4"/>
      <c r="BM1420" s="4"/>
      <c r="BN1420" s="4"/>
      <c r="BO1420" s="4"/>
      <c r="BP1420" s="4"/>
      <c r="BQ1420" s="4"/>
      <c r="BR1420" s="4"/>
      <c r="BS1420" s="4"/>
      <c r="BT1420" s="4"/>
      <c r="BU1420" s="4"/>
      <c r="BV1420" s="4"/>
      <c r="BW1420" s="4"/>
      <c r="BX1420" s="4"/>
      <c r="BY1420" s="4"/>
      <c r="BZ1420" s="4"/>
      <c r="CA1420" s="4"/>
      <c r="CB1420" s="4"/>
      <c r="CC1420" s="4"/>
      <c r="CD1420" s="4"/>
      <c r="CE1420" s="4"/>
      <c r="CF1420" s="4"/>
      <c r="CG1420" s="4"/>
      <c r="CH1420" s="4"/>
      <c r="CI1420" s="4"/>
      <c r="CJ1420" s="4"/>
      <c r="CK1420" s="4"/>
      <c r="CL1420" s="4"/>
      <c r="CM1420" s="4"/>
      <c r="CN1420" s="6"/>
      <c r="CO1420" s="7"/>
      <c r="CP1420" s="6"/>
      <c r="CQ1420" s="7"/>
      <c r="CR1420" s="6"/>
      <c r="CS1420" s="7"/>
      <c r="CT1420" s="8">
        <f t="shared" si="357"/>
        <v>0</v>
      </c>
      <c r="CU1420" s="9"/>
      <c r="CV1420" s="10"/>
      <c r="CW1420" s="11"/>
      <c r="CX1420" s="12"/>
      <c r="CY1420" s="26"/>
      <c r="CZ1420" s="12"/>
      <c r="DA1420" s="9"/>
      <c r="DB1420" s="10"/>
      <c r="DC1420" s="64"/>
      <c r="DD1420" s="22"/>
    </row>
    <row r="1421" spans="1:108" s="119" customFormat="1" ht="24" outlineLevel="2">
      <c r="A1421" s="178">
        <v>40281</v>
      </c>
      <c r="B1421" s="82" t="s">
        <v>905</v>
      </c>
      <c r="C1421" s="82" t="s">
        <v>874</v>
      </c>
      <c r="D1421" s="165" t="s">
        <v>1182</v>
      </c>
      <c r="E1421" s="167"/>
      <c r="F1421" s="66"/>
      <c r="G1421" s="66"/>
      <c r="H1421" s="66">
        <v>25</v>
      </c>
      <c r="I1421" s="66">
        <v>5</v>
      </c>
      <c r="J1421" s="66"/>
      <c r="K1421" s="66">
        <v>5</v>
      </c>
      <c r="L1421" s="66"/>
      <c r="M1421" s="66"/>
      <c r="N1421" s="66"/>
      <c r="O1421" s="66"/>
      <c r="P1421" s="66"/>
      <c r="Q1421" s="66"/>
      <c r="R1421" s="66"/>
      <c r="S1421" s="66"/>
      <c r="T1421" s="67"/>
      <c r="U1421" s="151"/>
      <c r="V1421" s="1"/>
      <c r="W1421" s="68">
        <f t="shared" si="352"/>
        <v>0</v>
      </c>
      <c r="X1421" s="68">
        <f t="shared" si="353"/>
        <v>0</v>
      </c>
      <c r="Y1421" s="68">
        <f t="shared" si="354"/>
        <v>0</v>
      </c>
      <c r="Z1421" s="68">
        <f t="shared" si="355"/>
        <v>0</v>
      </c>
      <c r="AA1421" s="68"/>
      <c r="AB1421" s="68">
        <v>0</v>
      </c>
      <c r="AC1421" s="69">
        <f t="shared" si="356"/>
        <v>0</v>
      </c>
      <c r="AD1421" s="70">
        <v>0</v>
      </c>
      <c r="AE1421" s="63">
        <v>40282</v>
      </c>
      <c r="AF1421" s="72"/>
      <c r="AG1421" s="63" t="s">
        <v>938</v>
      </c>
      <c r="AH1421" s="23" t="s">
        <v>939</v>
      </c>
      <c r="AI1421" s="60"/>
      <c r="AJ1421" s="133" t="s">
        <v>1608</v>
      </c>
      <c r="AK1421" s="73" t="s">
        <v>967</v>
      </c>
      <c r="AL1421" s="3"/>
      <c r="AM1421" s="4"/>
      <c r="AN1421" s="5"/>
      <c r="AO1421" s="4"/>
      <c r="AP1421" s="4"/>
      <c r="AQ1421" s="4"/>
      <c r="AR1421" s="4"/>
      <c r="AS1421" s="4"/>
      <c r="AT1421" s="4"/>
      <c r="AU1421" s="4"/>
      <c r="AV1421" s="4"/>
      <c r="AW1421" s="4"/>
      <c r="AX1421" s="4"/>
      <c r="AY1421" s="4"/>
      <c r="AZ1421" s="4"/>
      <c r="BA1421" s="4"/>
      <c r="BB1421" s="4"/>
      <c r="BC1421" s="4"/>
      <c r="BD1421" s="4"/>
      <c r="BE1421" s="4"/>
      <c r="BF1421" s="4"/>
      <c r="BG1421" s="4"/>
      <c r="BH1421" s="4"/>
      <c r="BI1421" s="4"/>
      <c r="BJ1421" s="4"/>
      <c r="BK1421" s="4"/>
      <c r="BL1421" s="4"/>
      <c r="BM1421" s="4"/>
      <c r="BN1421" s="4"/>
      <c r="BO1421" s="4"/>
      <c r="BP1421" s="4"/>
      <c r="BQ1421" s="4"/>
      <c r="BR1421" s="4"/>
      <c r="BS1421" s="4"/>
      <c r="BT1421" s="4"/>
      <c r="BU1421" s="4"/>
      <c r="BV1421" s="4"/>
      <c r="BW1421" s="4"/>
      <c r="BX1421" s="4"/>
      <c r="BY1421" s="4"/>
      <c r="BZ1421" s="4"/>
      <c r="CA1421" s="4"/>
      <c r="CB1421" s="4"/>
      <c r="CC1421" s="4"/>
      <c r="CD1421" s="4"/>
      <c r="CE1421" s="4"/>
      <c r="CF1421" s="4"/>
      <c r="CG1421" s="4"/>
      <c r="CH1421" s="4"/>
      <c r="CI1421" s="4"/>
      <c r="CJ1421" s="4"/>
      <c r="CK1421" s="4"/>
      <c r="CL1421" s="4"/>
      <c r="CM1421" s="4"/>
      <c r="CN1421" s="6"/>
      <c r="CO1421" s="7"/>
      <c r="CP1421" s="6"/>
      <c r="CQ1421" s="7"/>
      <c r="CR1421" s="6"/>
      <c r="CS1421" s="7"/>
      <c r="CT1421" s="8">
        <f t="shared" si="357"/>
        <v>0</v>
      </c>
      <c r="CU1421" s="9"/>
      <c r="CV1421" s="10"/>
      <c r="CW1421" s="11"/>
      <c r="CX1421" s="12"/>
      <c r="CY1421" s="26"/>
      <c r="CZ1421" s="12"/>
      <c r="DA1421" s="9"/>
      <c r="DB1421" s="10"/>
      <c r="DC1421" s="64"/>
      <c r="DD1421" s="22"/>
    </row>
    <row r="1422" spans="1:108" s="119" customFormat="1" ht="36" outlineLevel="2">
      <c r="A1422" s="178">
        <v>40282</v>
      </c>
      <c r="B1422" s="82" t="s">
        <v>905</v>
      </c>
      <c r="C1422" s="82" t="s">
        <v>876</v>
      </c>
      <c r="D1422" s="165" t="s">
        <v>1262</v>
      </c>
      <c r="E1422" s="167"/>
      <c r="F1422" s="66"/>
      <c r="G1422" s="66"/>
      <c r="H1422" s="66">
        <v>300</v>
      </c>
      <c r="I1422" s="66">
        <v>60</v>
      </c>
      <c r="J1422" s="66">
        <v>4</v>
      </c>
      <c r="K1422" s="66">
        <v>56</v>
      </c>
      <c r="L1422" s="66"/>
      <c r="M1422" s="66"/>
      <c r="N1422" s="66"/>
      <c r="O1422" s="66"/>
      <c r="P1422" s="66"/>
      <c r="Q1422" s="66"/>
      <c r="R1422" s="66"/>
      <c r="S1422" s="66"/>
      <c r="T1422" s="67"/>
      <c r="U1422" s="151"/>
      <c r="V1422" s="1"/>
      <c r="W1422" s="68">
        <f t="shared" si="352"/>
        <v>0</v>
      </c>
      <c r="X1422" s="68">
        <f t="shared" si="353"/>
        <v>0</v>
      </c>
      <c r="Y1422" s="68">
        <f t="shared" si="354"/>
        <v>0</v>
      </c>
      <c r="Z1422" s="68">
        <f t="shared" si="355"/>
        <v>0</v>
      </c>
      <c r="AA1422" s="68"/>
      <c r="AB1422" s="68">
        <v>0</v>
      </c>
      <c r="AC1422" s="69">
        <f t="shared" si="356"/>
        <v>0</v>
      </c>
      <c r="AD1422" s="70">
        <v>0</v>
      </c>
      <c r="AE1422" s="63">
        <v>40283</v>
      </c>
      <c r="AF1422" s="72"/>
      <c r="AG1422" s="63" t="s">
        <v>938</v>
      </c>
      <c r="AH1422" s="23" t="s">
        <v>939</v>
      </c>
      <c r="AI1422" s="60"/>
      <c r="AJ1422" s="133" t="s">
        <v>1608</v>
      </c>
      <c r="AK1422" s="73" t="s">
        <v>536</v>
      </c>
      <c r="AL1422" s="3"/>
      <c r="AM1422" s="4"/>
      <c r="AN1422" s="5"/>
      <c r="AO1422" s="4"/>
      <c r="AP1422" s="4"/>
      <c r="AQ1422" s="4"/>
      <c r="AR1422" s="4"/>
      <c r="AS1422" s="4"/>
      <c r="AT1422" s="4"/>
      <c r="AU1422" s="4"/>
      <c r="AV1422" s="4"/>
      <c r="AW1422" s="4"/>
      <c r="AX1422" s="4"/>
      <c r="AY1422" s="4"/>
      <c r="AZ1422" s="4"/>
      <c r="BA1422" s="4"/>
      <c r="BB1422" s="4"/>
      <c r="BC1422" s="4"/>
      <c r="BD1422" s="4"/>
      <c r="BE1422" s="4"/>
      <c r="BF1422" s="4"/>
      <c r="BG1422" s="4"/>
      <c r="BH1422" s="4"/>
      <c r="BI1422" s="4"/>
      <c r="BJ1422" s="4"/>
      <c r="BK1422" s="4"/>
      <c r="BL1422" s="4"/>
      <c r="BM1422" s="4"/>
      <c r="BN1422" s="4"/>
      <c r="BO1422" s="4"/>
      <c r="BP1422" s="4"/>
      <c r="BQ1422" s="4"/>
      <c r="BR1422" s="4"/>
      <c r="BS1422" s="4"/>
      <c r="BT1422" s="4"/>
      <c r="BU1422" s="4"/>
      <c r="BV1422" s="4"/>
      <c r="BW1422" s="4"/>
      <c r="BX1422" s="4"/>
      <c r="BY1422" s="4"/>
      <c r="BZ1422" s="4"/>
      <c r="CA1422" s="4"/>
      <c r="CB1422" s="4"/>
      <c r="CC1422" s="4"/>
      <c r="CD1422" s="4"/>
      <c r="CE1422" s="4"/>
      <c r="CF1422" s="4"/>
      <c r="CG1422" s="4"/>
      <c r="CH1422" s="4"/>
      <c r="CI1422" s="4"/>
      <c r="CJ1422" s="4"/>
      <c r="CK1422" s="4"/>
      <c r="CL1422" s="4"/>
      <c r="CM1422" s="4"/>
      <c r="CN1422" s="6"/>
      <c r="CO1422" s="7"/>
      <c r="CP1422" s="6"/>
      <c r="CQ1422" s="7"/>
      <c r="CR1422" s="6"/>
      <c r="CS1422" s="7"/>
      <c r="CT1422" s="8">
        <f t="shared" si="357"/>
        <v>0</v>
      </c>
      <c r="CU1422" s="9"/>
      <c r="CV1422" s="10"/>
      <c r="CW1422" s="11"/>
      <c r="CX1422" s="12"/>
      <c r="CY1422" s="26"/>
      <c r="CZ1422" s="12"/>
      <c r="DA1422" s="9"/>
      <c r="DB1422" s="10"/>
      <c r="DC1422" s="64"/>
      <c r="DD1422" s="22"/>
    </row>
    <row r="1423" spans="1:108" s="119" customFormat="1" ht="48" outlineLevel="2">
      <c r="A1423" s="178">
        <v>40282</v>
      </c>
      <c r="B1423" s="82" t="s">
        <v>905</v>
      </c>
      <c r="C1423" s="82" t="s">
        <v>969</v>
      </c>
      <c r="D1423" s="165" t="s">
        <v>1262</v>
      </c>
      <c r="E1423" s="167"/>
      <c r="F1423" s="66"/>
      <c r="G1423" s="66"/>
      <c r="H1423" s="66">
        <v>750</v>
      </c>
      <c r="I1423" s="66">
        <v>150</v>
      </c>
      <c r="J1423" s="66">
        <v>4</v>
      </c>
      <c r="K1423" s="66">
        <v>146</v>
      </c>
      <c r="L1423" s="66"/>
      <c r="M1423" s="66"/>
      <c r="N1423" s="66"/>
      <c r="O1423" s="66"/>
      <c r="P1423" s="66"/>
      <c r="Q1423" s="66"/>
      <c r="R1423" s="66"/>
      <c r="S1423" s="66"/>
      <c r="T1423" s="67"/>
      <c r="U1423" s="151"/>
      <c r="V1423" s="1"/>
      <c r="W1423" s="68">
        <f t="shared" si="352"/>
        <v>0</v>
      </c>
      <c r="X1423" s="68">
        <f t="shared" si="353"/>
        <v>0</v>
      </c>
      <c r="Y1423" s="68">
        <f t="shared" si="354"/>
        <v>0</v>
      </c>
      <c r="Z1423" s="68">
        <f t="shared" si="355"/>
        <v>0</v>
      </c>
      <c r="AA1423" s="68"/>
      <c r="AB1423" s="68">
        <v>0</v>
      </c>
      <c r="AC1423" s="69">
        <f t="shared" si="356"/>
        <v>0</v>
      </c>
      <c r="AD1423" s="70">
        <v>0</v>
      </c>
      <c r="AE1423" s="63">
        <v>40283</v>
      </c>
      <c r="AF1423" s="72"/>
      <c r="AG1423" s="63" t="s">
        <v>938</v>
      </c>
      <c r="AH1423" s="23" t="s">
        <v>939</v>
      </c>
      <c r="AI1423" s="60"/>
      <c r="AJ1423" s="133" t="s">
        <v>1608</v>
      </c>
      <c r="AK1423" s="73" t="s">
        <v>970</v>
      </c>
      <c r="AL1423" s="3"/>
      <c r="AM1423" s="4"/>
      <c r="AN1423" s="5"/>
      <c r="AO1423" s="4"/>
      <c r="AP1423" s="4"/>
      <c r="AQ1423" s="4"/>
      <c r="AR1423" s="4"/>
      <c r="AS1423" s="4"/>
      <c r="AT1423" s="4"/>
      <c r="AU1423" s="4"/>
      <c r="AV1423" s="4"/>
      <c r="AW1423" s="4"/>
      <c r="AX1423" s="4"/>
      <c r="AY1423" s="4"/>
      <c r="AZ1423" s="4"/>
      <c r="BA1423" s="4"/>
      <c r="BB1423" s="4"/>
      <c r="BC1423" s="4"/>
      <c r="BD1423" s="4"/>
      <c r="BE1423" s="4"/>
      <c r="BF1423" s="4"/>
      <c r="BG1423" s="4"/>
      <c r="BH1423" s="4"/>
      <c r="BI1423" s="4"/>
      <c r="BJ1423" s="4"/>
      <c r="BK1423" s="4"/>
      <c r="BL1423" s="4"/>
      <c r="BM1423" s="4"/>
      <c r="BN1423" s="4"/>
      <c r="BO1423" s="4"/>
      <c r="BP1423" s="4"/>
      <c r="BQ1423" s="4"/>
      <c r="BR1423" s="4"/>
      <c r="BS1423" s="4"/>
      <c r="BT1423" s="4"/>
      <c r="BU1423" s="4"/>
      <c r="BV1423" s="4"/>
      <c r="BW1423" s="4"/>
      <c r="BX1423" s="4"/>
      <c r="BY1423" s="4"/>
      <c r="BZ1423" s="4"/>
      <c r="CA1423" s="4"/>
      <c r="CB1423" s="4"/>
      <c r="CC1423" s="4"/>
      <c r="CD1423" s="4"/>
      <c r="CE1423" s="4"/>
      <c r="CF1423" s="4"/>
      <c r="CG1423" s="4"/>
      <c r="CH1423" s="4"/>
      <c r="CI1423" s="4"/>
      <c r="CJ1423" s="4"/>
      <c r="CK1423" s="4"/>
      <c r="CL1423" s="4"/>
      <c r="CM1423" s="4"/>
      <c r="CN1423" s="6"/>
      <c r="CO1423" s="7"/>
      <c r="CP1423" s="6"/>
      <c r="CQ1423" s="7"/>
      <c r="CR1423" s="6"/>
      <c r="CS1423" s="7"/>
      <c r="CT1423" s="8">
        <f t="shared" si="357"/>
        <v>0</v>
      </c>
      <c r="CU1423" s="9"/>
      <c r="CV1423" s="10"/>
      <c r="CW1423" s="11"/>
      <c r="CX1423" s="12"/>
      <c r="CY1423" s="26"/>
      <c r="CZ1423" s="12"/>
      <c r="DA1423" s="9"/>
      <c r="DB1423" s="10"/>
      <c r="DC1423" s="64"/>
      <c r="DD1423" s="22"/>
    </row>
    <row r="1424" spans="1:108" s="119" customFormat="1" ht="36" outlineLevel="2">
      <c r="A1424" s="178">
        <v>40284</v>
      </c>
      <c r="B1424" s="82" t="s">
        <v>905</v>
      </c>
      <c r="C1424" s="82" t="s">
        <v>845</v>
      </c>
      <c r="D1424" s="165" t="s">
        <v>1262</v>
      </c>
      <c r="E1424" s="167"/>
      <c r="F1424" s="66"/>
      <c r="G1424" s="66"/>
      <c r="H1424" s="66"/>
      <c r="I1424" s="66"/>
      <c r="J1424" s="66"/>
      <c r="K1424" s="66"/>
      <c r="L1424" s="66"/>
      <c r="M1424" s="66"/>
      <c r="N1424" s="66"/>
      <c r="O1424" s="66"/>
      <c r="P1424" s="66"/>
      <c r="Q1424" s="66"/>
      <c r="R1424" s="66"/>
      <c r="S1424" s="66"/>
      <c r="T1424" s="67"/>
      <c r="U1424" s="151"/>
      <c r="V1424" s="1"/>
      <c r="W1424" s="68">
        <f t="shared" si="352"/>
        <v>0</v>
      </c>
      <c r="X1424" s="68">
        <f t="shared" si="353"/>
        <v>0</v>
      </c>
      <c r="Y1424" s="68">
        <f t="shared" si="354"/>
        <v>0</v>
      </c>
      <c r="Z1424" s="68">
        <f t="shared" si="355"/>
        <v>0</v>
      </c>
      <c r="AA1424" s="68"/>
      <c r="AB1424" s="68">
        <v>0</v>
      </c>
      <c r="AC1424" s="69">
        <f t="shared" si="356"/>
        <v>0</v>
      </c>
      <c r="AD1424" s="70">
        <v>0</v>
      </c>
      <c r="AE1424" s="63">
        <v>40285</v>
      </c>
      <c r="AF1424" s="72"/>
      <c r="AG1424" s="63" t="s">
        <v>938</v>
      </c>
      <c r="AH1424" s="23" t="s">
        <v>939</v>
      </c>
      <c r="AI1424" s="60"/>
      <c r="AJ1424" s="133" t="s">
        <v>1608</v>
      </c>
      <c r="AK1424" s="73" t="s">
        <v>846</v>
      </c>
      <c r="AL1424" s="3"/>
      <c r="AM1424" s="4"/>
      <c r="AN1424" s="5"/>
      <c r="AO1424" s="4"/>
      <c r="AP1424" s="4"/>
      <c r="AQ1424" s="4"/>
      <c r="AR1424" s="4"/>
      <c r="AS1424" s="4"/>
      <c r="AT1424" s="4"/>
      <c r="AU1424" s="4"/>
      <c r="AV1424" s="4"/>
      <c r="AW1424" s="4"/>
      <c r="AX1424" s="4"/>
      <c r="AY1424" s="4"/>
      <c r="AZ1424" s="4"/>
      <c r="BA1424" s="4"/>
      <c r="BB1424" s="4"/>
      <c r="BC1424" s="4"/>
      <c r="BD1424" s="4"/>
      <c r="BE1424" s="4"/>
      <c r="BF1424" s="4"/>
      <c r="BG1424" s="4"/>
      <c r="BH1424" s="4"/>
      <c r="BI1424" s="4"/>
      <c r="BJ1424" s="4"/>
      <c r="BK1424" s="4"/>
      <c r="BL1424" s="4"/>
      <c r="BM1424" s="4"/>
      <c r="BN1424" s="4"/>
      <c r="BO1424" s="4"/>
      <c r="BP1424" s="4"/>
      <c r="BQ1424" s="4"/>
      <c r="BR1424" s="4"/>
      <c r="BS1424" s="4"/>
      <c r="BT1424" s="4"/>
      <c r="BU1424" s="4"/>
      <c r="BV1424" s="4"/>
      <c r="BW1424" s="4"/>
      <c r="BX1424" s="4"/>
      <c r="BY1424" s="4"/>
      <c r="BZ1424" s="4"/>
      <c r="CA1424" s="4"/>
      <c r="CB1424" s="4"/>
      <c r="CC1424" s="4"/>
      <c r="CD1424" s="4"/>
      <c r="CE1424" s="4"/>
      <c r="CF1424" s="4"/>
      <c r="CG1424" s="4"/>
      <c r="CH1424" s="4"/>
      <c r="CI1424" s="4"/>
      <c r="CJ1424" s="4"/>
      <c r="CK1424" s="4"/>
      <c r="CL1424" s="4"/>
      <c r="CM1424" s="4"/>
      <c r="CN1424" s="6"/>
      <c r="CO1424" s="7"/>
      <c r="CP1424" s="6"/>
      <c r="CQ1424" s="7"/>
      <c r="CR1424" s="6"/>
      <c r="CS1424" s="7"/>
      <c r="CT1424" s="8">
        <f t="shared" si="357"/>
        <v>0</v>
      </c>
      <c r="CU1424" s="9"/>
      <c r="CV1424" s="10"/>
      <c r="CW1424" s="11"/>
      <c r="CX1424" s="12"/>
      <c r="CY1424" s="26"/>
      <c r="CZ1424" s="12"/>
      <c r="DA1424" s="9"/>
      <c r="DB1424" s="10"/>
      <c r="DC1424" s="64"/>
      <c r="DD1424" s="22"/>
    </row>
    <row r="1425" spans="1:108" s="119" customFormat="1" ht="24" outlineLevel="2">
      <c r="A1425" s="178">
        <v>40287</v>
      </c>
      <c r="B1425" s="82" t="s">
        <v>905</v>
      </c>
      <c r="C1425" s="82" t="s">
        <v>1226</v>
      </c>
      <c r="D1425" s="165" t="s">
        <v>1262</v>
      </c>
      <c r="E1425" s="167"/>
      <c r="F1425" s="66"/>
      <c r="G1425" s="66"/>
      <c r="H1425" s="66"/>
      <c r="I1425" s="66"/>
      <c r="J1425" s="66"/>
      <c r="K1425" s="66"/>
      <c r="L1425" s="66"/>
      <c r="M1425" s="66"/>
      <c r="N1425" s="66"/>
      <c r="O1425" s="66"/>
      <c r="P1425" s="66"/>
      <c r="Q1425" s="66"/>
      <c r="R1425" s="66"/>
      <c r="S1425" s="66"/>
      <c r="T1425" s="67"/>
      <c r="U1425" s="151"/>
      <c r="V1425" s="1"/>
      <c r="W1425" s="68">
        <f t="shared" si="352"/>
        <v>0</v>
      </c>
      <c r="X1425" s="68">
        <f t="shared" si="353"/>
        <v>0</v>
      </c>
      <c r="Y1425" s="68">
        <f t="shared" si="354"/>
        <v>0</v>
      </c>
      <c r="Z1425" s="68">
        <f t="shared" si="355"/>
        <v>0</v>
      </c>
      <c r="AA1425" s="68"/>
      <c r="AB1425" s="68">
        <v>0</v>
      </c>
      <c r="AC1425" s="69">
        <f t="shared" si="356"/>
        <v>0</v>
      </c>
      <c r="AD1425" s="70">
        <v>0</v>
      </c>
      <c r="AE1425" s="63">
        <v>40290</v>
      </c>
      <c r="AF1425" s="72"/>
      <c r="AG1425" s="63" t="s">
        <v>938</v>
      </c>
      <c r="AH1425" s="23" t="s">
        <v>939</v>
      </c>
      <c r="AI1425" s="60"/>
      <c r="AJ1425" s="133" t="s">
        <v>1608</v>
      </c>
      <c r="AK1425" s="73" t="s">
        <v>1227</v>
      </c>
      <c r="AL1425" s="3"/>
      <c r="AM1425" s="4"/>
      <c r="AN1425" s="5"/>
      <c r="AO1425" s="4"/>
      <c r="AP1425" s="4"/>
      <c r="AQ1425" s="4"/>
      <c r="AR1425" s="4"/>
      <c r="AS1425" s="4"/>
      <c r="AT1425" s="4"/>
      <c r="AU1425" s="4"/>
      <c r="AV1425" s="4"/>
      <c r="AW1425" s="4"/>
      <c r="AX1425" s="4"/>
      <c r="AY1425" s="4"/>
      <c r="AZ1425" s="4"/>
      <c r="BA1425" s="4"/>
      <c r="BB1425" s="4"/>
      <c r="BC1425" s="4"/>
      <c r="BD1425" s="4"/>
      <c r="BE1425" s="4"/>
      <c r="BF1425" s="4"/>
      <c r="BG1425" s="4"/>
      <c r="BH1425" s="4"/>
      <c r="BI1425" s="4"/>
      <c r="BJ1425" s="4"/>
      <c r="BK1425" s="4"/>
      <c r="BL1425" s="4"/>
      <c r="BM1425" s="4"/>
      <c r="BN1425" s="4"/>
      <c r="BO1425" s="4"/>
      <c r="BP1425" s="4"/>
      <c r="BQ1425" s="4"/>
      <c r="BR1425" s="4"/>
      <c r="BS1425" s="4"/>
      <c r="BT1425" s="4"/>
      <c r="BU1425" s="4"/>
      <c r="BV1425" s="4"/>
      <c r="BW1425" s="4"/>
      <c r="BX1425" s="4"/>
      <c r="BY1425" s="4"/>
      <c r="BZ1425" s="4"/>
      <c r="CA1425" s="4"/>
      <c r="CB1425" s="4"/>
      <c r="CC1425" s="4"/>
      <c r="CD1425" s="4"/>
      <c r="CE1425" s="4"/>
      <c r="CF1425" s="4"/>
      <c r="CG1425" s="4"/>
      <c r="CH1425" s="4"/>
      <c r="CI1425" s="4"/>
      <c r="CJ1425" s="4"/>
      <c r="CK1425" s="4"/>
      <c r="CL1425" s="4"/>
      <c r="CM1425" s="4"/>
      <c r="CN1425" s="6"/>
      <c r="CO1425" s="7"/>
      <c r="CP1425" s="6"/>
      <c r="CQ1425" s="7"/>
      <c r="CR1425" s="6"/>
      <c r="CS1425" s="7"/>
      <c r="CT1425" s="8">
        <f t="shared" si="357"/>
        <v>0</v>
      </c>
      <c r="CU1425" s="9"/>
      <c r="CV1425" s="10"/>
      <c r="CW1425" s="11"/>
      <c r="CX1425" s="12"/>
      <c r="CY1425" s="26"/>
      <c r="CZ1425" s="12"/>
      <c r="DA1425" s="9"/>
      <c r="DB1425" s="10"/>
      <c r="DC1425" s="64"/>
      <c r="DD1425" s="22"/>
    </row>
    <row r="1426" spans="1:108" s="119" customFormat="1" outlineLevel="2">
      <c r="A1426" s="178">
        <v>40287</v>
      </c>
      <c r="B1426" s="82" t="s">
        <v>905</v>
      </c>
      <c r="C1426" s="82" t="s">
        <v>948</v>
      </c>
      <c r="D1426" s="165" t="s">
        <v>1262</v>
      </c>
      <c r="E1426" s="167"/>
      <c r="F1426" s="66"/>
      <c r="G1426" s="66"/>
      <c r="H1426" s="66">
        <v>167</v>
      </c>
      <c r="I1426" s="66">
        <v>33</v>
      </c>
      <c r="J1426" s="66"/>
      <c r="K1426" s="66">
        <v>33</v>
      </c>
      <c r="L1426" s="66"/>
      <c r="M1426" s="66"/>
      <c r="N1426" s="66"/>
      <c r="O1426" s="66"/>
      <c r="P1426" s="66"/>
      <c r="Q1426" s="66"/>
      <c r="R1426" s="66"/>
      <c r="S1426" s="66"/>
      <c r="T1426" s="67"/>
      <c r="U1426" s="151"/>
      <c r="V1426" s="1"/>
      <c r="W1426" s="68">
        <f t="shared" si="352"/>
        <v>0</v>
      </c>
      <c r="X1426" s="68">
        <f t="shared" si="353"/>
        <v>0</v>
      </c>
      <c r="Y1426" s="68">
        <f t="shared" si="354"/>
        <v>0</v>
      </c>
      <c r="Z1426" s="68">
        <f t="shared" si="355"/>
        <v>0</v>
      </c>
      <c r="AA1426" s="68"/>
      <c r="AB1426" s="68">
        <v>0</v>
      </c>
      <c r="AC1426" s="69">
        <f t="shared" si="356"/>
        <v>0</v>
      </c>
      <c r="AD1426" s="70">
        <v>0</v>
      </c>
      <c r="AE1426" s="63">
        <v>40291</v>
      </c>
      <c r="AF1426" s="72"/>
      <c r="AG1426" s="63" t="s">
        <v>938</v>
      </c>
      <c r="AH1426" s="23" t="s">
        <v>939</v>
      </c>
      <c r="AI1426" s="60"/>
      <c r="AJ1426" s="133" t="s">
        <v>1608</v>
      </c>
      <c r="AK1426" s="73" t="s">
        <v>1649</v>
      </c>
      <c r="AL1426" s="3"/>
      <c r="AM1426" s="4"/>
      <c r="AN1426" s="5"/>
      <c r="AO1426" s="4"/>
      <c r="AP1426" s="4"/>
      <c r="AQ1426" s="4"/>
      <c r="AR1426" s="4"/>
      <c r="AS1426" s="4"/>
      <c r="AT1426" s="4"/>
      <c r="AU1426" s="4"/>
      <c r="AV1426" s="4"/>
      <c r="AW1426" s="4"/>
      <c r="AX1426" s="4"/>
      <c r="AY1426" s="4"/>
      <c r="AZ1426" s="4"/>
      <c r="BA1426" s="4"/>
      <c r="BB1426" s="4"/>
      <c r="BC1426" s="4"/>
      <c r="BD1426" s="4"/>
      <c r="BE1426" s="4"/>
      <c r="BF1426" s="4"/>
      <c r="BG1426" s="4"/>
      <c r="BH1426" s="4"/>
      <c r="BI1426" s="4"/>
      <c r="BJ1426" s="4"/>
      <c r="BK1426" s="4"/>
      <c r="BL1426" s="4"/>
      <c r="BM1426" s="4"/>
      <c r="BN1426" s="4"/>
      <c r="BO1426" s="4"/>
      <c r="BP1426" s="4"/>
      <c r="BQ1426" s="4"/>
      <c r="BR1426" s="4"/>
      <c r="BS1426" s="4"/>
      <c r="BT1426" s="4"/>
      <c r="BU1426" s="4"/>
      <c r="BV1426" s="4"/>
      <c r="BW1426" s="4"/>
      <c r="BX1426" s="4"/>
      <c r="BY1426" s="4"/>
      <c r="BZ1426" s="4"/>
      <c r="CA1426" s="4"/>
      <c r="CB1426" s="4"/>
      <c r="CC1426" s="4"/>
      <c r="CD1426" s="4"/>
      <c r="CE1426" s="4"/>
      <c r="CF1426" s="4"/>
      <c r="CG1426" s="4"/>
      <c r="CH1426" s="4"/>
      <c r="CI1426" s="4"/>
      <c r="CJ1426" s="4"/>
      <c r="CK1426" s="4"/>
      <c r="CL1426" s="4"/>
      <c r="CM1426" s="4"/>
      <c r="CN1426" s="6"/>
      <c r="CO1426" s="7"/>
      <c r="CP1426" s="6"/>
      <c r="CQ1426" s="7"/>
      <c r="CR1426" s="6"/>
      <c r="CS1426" s="7"/>
      <c r="CT1426" s="8">
        <f t="shared" si="357"/>
        <v>0</v>
      </c>
      <c r="CU1426" s="9"/>
      <c r="CV1426" s="10"/>
      <c r="CW1426" s="11"/>
      <c r="CX1426" s="12"/>
      <c r="CY1426" s="26"/>
      <c r="CZ1426" s="12"/>
      <c r="DA1426" s="9"/>
      <c r="DB1426" s="10"/>
      <c r="DC1426" s="64"/>
      <c r="DD1426" s="22"/>
    </row>
    <row r="1427" spans="1:108" s="119" customFormat="1" ht="60" outlineLevel="2">
      <c r="A1427" s="178">
        <v>40290</v>
      </c>
      <c r="B1427" s="82" t="s">
        <v>905</v>
      </c>
      <c r="C1427" s="82" t="s">
        <v>2374</v>
      </c>
      <c r="D1427" s="165" t="s">
        <v>435</v>
      </c>
      <c r="E1427" s="167"/>
      <c r="F1427" s="66"/>
      <c r="G1427" s="66"/>
      <c r="H1427" s="66">
        <v>180</v>
      </c>
      <c r="I1427" s="66">
        <v>35</v>
      </c>
      <c r="J1427" s="66"/>
      <c r="K1427" s="66">
        <v>35</v>
      </c>
      <c r="L1427" s="66"/>
      <c r="M1427" s="66"/>
      <c r="N1427" s="66"/>
      <c r="O1427" s="66"/>
      <c r="P1427" s="66"/>
      <c r="Q1427" s="66"/>
      <c r="R1427" s="66">
        <v>1</v>
      </c>
      <c r="S1427" s="66">
        <v>5</v>
      </c>
      <c r="T1427" s="67"/>
      <c r="U1427" s="151"/>
      <c r="V1427" s="1"/>
      <c r="W1427" s="68">
        <f t="shared" si="352"/>
        <v>0</v>
      </c>
      <c r="X1427" s="68">
        <f t="shared" si="353"/>
        <v>0</v>
      </c>
      <c r="Y1427" s="68">
        <f t="shared" si="354"/>
        <v>0</v>
      </c>
      <c r="Z1427" s="68">
        <f t="shared" si="355"/>
        <v>0</v>
      </c>
      <c r="AA1427" s="68"/>
      <c r="AB1427" s="68">
        <v>0</v>
      </c>
      <c r="AC1427" s="69">
        <f t="shared" si="356"/>
        <v>0</v>
      </c>
      <c r="AD1427" s="70">
        <v>0</v>
      </c>
      <c r="AE1427" s="63">
        <v>40291</v>
      </c>
      <c r="AF1427" s="72"/>
      <c r="AG1427" s="63" t="s">
        <v>938</v>
      </c>
      <c r="AH1427" s="23" t="s">
        <v>939</v>
      </c>
      <c r="AI1427" s="60"/>
      <c r="AJ1427" s="133" t="s">
        <v>1608</v>
      </c>
      <c r="AK1427" s="73" t="s">
        <v>1098</v>
      </c>
      <c r="AL1427" s="3"/>
      <c r="AM1427" s="4"/>
      <c r="AN1427" s="5"/>
      <c r="AO1427" s="4"/>
      <c r="AP1427" s="4"/>
      <c r="AQ1427" s="4"/>
      <c r="AR1427" s="4"/>
      <c r="AS1427" s="4"/>
      <c r="AT1427" s="4"/>
      <c r="AU1427" s="4"/>
      <c r="AV1427" s="4"/>
      <c r="AW1427" s="4"/>
      <c r="AX1427" s="4"/>
      <c r="AY1427" s="4"/>
      <c r="AZ1427" s="4"/>
      <c r="BA1427" s="4"/>
      <c r="BB1427" s="4"/>
      <c r="BC1427" s="4"/>
      <c r="BD1427" s="4"/>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c r="CA1427" s="4"/>
      <c r="CB1427" s="4"/>
      <c r="CC1427" s="4"/>
      <c r="CD1427" s="4"/>
      <c r="CE1427" s="4"/>
      <c r="CF1427" s="4"/>
      <c r="CG1427" s="4"/>
      <c r="CH1427" s="4"/>
      <c r="CI1427" s="4"/>
      <c r="CJ1427" s="4"/>
      <c r="CK1427" s="4"/>
      <c r="CL1427" s="4"/>
      <c r="CM1427" s="4"/>
      <c r="CN1427" s="6"/>
      <c r="CO1427" s="7"/>
      <c r="CP1427" s="6"/>
      <c r="CQ1427" s="7"/>
      <c r="CR1427" s="6"/>
      <c r="CS1427" s="7"/>
      <c r="CT1427" s="8">
        <f t="shared" si="357"/>
        <v>0</v>
      </c>
      <c r="CU1427" s="9"/>
      <c r="CV1427" s="10"/>
      <c r="CW1427" s="11"/>
      <c r="CX1427" s="12"/>
      <c r="CY1427" s="26"/>
      <c r="CZ1427" s="12"/>
      <c r="DA1427" s="9"/>
      <c r="DB1427" s="10"/>
      <c r="DC1427" s="64"/>
      <c r="DD1427" s="22"/>
    </row>
    <row r="1428" spans="1:108" s="119" customFormat="1" ht="12" customHeight="1" outlineLevel="2">
      <c r="A1428" s="178">
        <v>40293</v>
      </c>
      <c r="B1428" s="82" t="s">
        <v>905</v>
      </c>
      <c r="C1428" s="82" t="s">
        <v>934</v>
      </c>
      <c r="D1428" s="165" t="s">
        <v>435</v>
      </c>
      <c r="E1428" s="167"/>
      <c r="F1428" s="66"/>
      <c r="G1428" s="66"/>
      <c r="H1428" s="66">
        <v>1500</v>
      </c>
      <c r="I1428" s="66">
        <v>500</v>
      </c>
      <c r="J1428" s="66"/>
      <c r="K1428" s="66">
        <v>500</v>
      </c>
      <c r="L1428" s="66"/>
      <c r="M1428" s="66"/>
      <c r="N1428" s="66"/>
      <c r="O1428" s="66"/>
      <c r="P1428" s="66"/>
      <c r="Q1428" s="66"/>
      <c r="R1428" s="66"/>
      <c r="S1428" s="66"/>
      <c r="T1428" s="67"/>
      <c r="U1428" s="151"/>
      <c r="V1428" s="1"/>
      <c r="W1428" s="68">
        <f t="shared" si="352"/>
        <v>0</v>
      </c>
      <c r="X1428" s="68">
        <f t="shared" si="353"/>
        <v>0</v>
      </c>
      <c r="Y1428" s="68">
        <f t="shared" si="354"/>
        <v>0</v>
      </c>
      <c r="Z1428" s="68">
        <f t="shared" si="355"/>
        <v>0</v>
      </c>
      <c r="AA1428" s="68"/>
      <c r="AB1428" s="68">
        <v>0</v>
      </c>
      <c r="AC1428" s="69">
        <f t="shared" si="356"/>
        <v>0</v>
      </c>
      <c r="AD1428" s="70">
        <v>0</v>
      </c>
      <c r="AE1428" s="63">
        <v>40295</v>
      </c>
      <c r="AF1428" s="72"/>
      <c r="AG1428" s="63" t="s">
        <v>938</v>
      </c>
      <c r="AH1428" s="23" t="s">
        <v>939</v>
      </c>
      <c r="AI1428" s="60"/>
      <c r="AJ1428" s="133" t="s">
        <v>1608</v>
      </c>
      <c r="AK1428" s="73" t="s">
        <v>1713</v>
      </c>
      <c r="AL1428" s="3"/>
      <c r="AM1428" s="4"/>
      <c r="AN1428" s="5"/>
      <c r="AO1428" s="4"/>
      <c r="AP1428" s="4"/>
      <c r="AQ1428" s="4"/>
      <c r="AR1428" s="4"/>
      <c r="AS1428" s="4"/>
      <c r="AT1428" s="4"/>
      <c r="AU1428" s="4"/>
      <c r="AV1428" s="4"/>
      <c r="AW1428" s="4"/>
      <c r="AX1428" s="4"/>
      <c r="AY1428" s="4"/>
      <c r="AZ1428" s="4"/>
      <c r="BA1428" s="4"/>
      <c r="BB1428" s="4"/>
      <c r="BC1428" s="4"/>
      <c r="BD1428" s="4"/>
      <c r="BE1428" s="4"/>
      <c r="BF1428" s="4"/>
      <c r="BG1428" s="4"/>
      <c r="BH1428" s="4"/>
      <c r="BI1428" s="4"/>
      <c r="BJ1428" s="4"/>
      <c r="BK1428" s="4"/>
      <c r="BL1428" s="4"/>
      <c r="BM1428" s="4"/>
      <c r="BN1428" s="4"/>
      <c r="BO1428" s="4"/>
      <c r="BP1428" s="4"/>
      <c r="BQ1428" s="4"/>
      <c r="BR1428" s="4"/>
      <c r="BS1428" s="4"/>
      <c r="BT1428" s="4"/>
      <c r="BU1428" s="4"/>
      <c r="BV1428" s="4"/>
      <c r="BW1428" s="4"/>
      <c r="BX1428" s="4"/>
      <c r="BY1428" s="4"/>
      <c r="BZ1428" s="4"/>
      <c r="CA1428" s="4"/>
      <c r="CB1428" s="4"/>
      <c r="CC1428" s="4"/>
      <c r="CD1428" s="4"/>
      <c r="CE1428" s="4"/>
      <c r="CF1428" s="4"/>
      <c r="CG1428" s="4"/>
      <c r="CH1428" s="4"/>
      <c r="CI1428" s="4"/>
      <c r="CJ1428" s="4"/>
      <c r="CK1428" s="4"/>
      <c r="CL1428" s="4"/>
      <c r="CM1428" s="4"/>
      <c r="CN1428" s="6"/>
      <c r="CO1428" s="7"/>
      <c r="CP1428" s="6"/>
      <c r="CQ1428" s="7"/>
      <c r="CR1428" s="6"/>
      <c r="CS1428" s="7"/>
      <c r="CT1428" s="8">
        <f t="shared" si="357"/>
        <v>0</v>
      </c>
      <c r="CU1428" s="9"/>
      <c r="CV1428" s="10"/>
      <c r="CW1428" s="11"/>
      <c r="CX1428" s="12"/>
      <c r="CY1428" s="26"/>
      <c r="CZ1428" s="12"/>
      <c r="DA1428" s="9"/>
      <c r="DB1428" s="10"/>
      <c r="DC1428" s="64"/>
      <c r="DD1428" s="22"/>
    </row>
    <row r="1429" spans="1:108" s="119" customFormat="1" ht="36" outlineLevel="2">
      <c r="A1429" s="178">
        <v>40294</v>
      </c>
      <c r="B1429" s="82" t="s">
        <v>905</v>
      </c>
      <c r="C1429" s="82" t="s">
        <v>1951</v>
      </c>
      <c r="D1429" s="165" t="s">
        <v>1262</v>
      </c>
      <c r="E1429" s="167"/>
      <c r="F1429" s="66"/>
      <c r="G1429" s="66"/>
      <c r="H1429" s="66">
        <v>163</v>
      </c>
      <c r="I1429" s="66">
        <v>34</v>
      </c>
      <c r="J1429" s="66"/>
      <c r="K1429" s="66">
        <v>34</v>
      </c>
      <c r="L1429" s="66"/>
      <c r="M1429" s="66"/>
      <c r="N1429" s="66"/>
      <c r="O1429" s="66"/>
      <c r="P1429" s="66"/>
      <c r="Q1429" s="66"/>
      <c r="R1429" s="66"/>
      <c r="S1429" s="66"/>
      <c r="T1429" s="67"/>
      <c r="U1429" s="151"/>
      <c r="V1429" s="1"/>
      <c r="W1429" s="68">
        <f t="shared" si="352"/>
        <v>0</v>
      </c>
      <c r="X1429" s="68">
        <f t="shared" si="353"/>
        <v>0</v>
      </c>
      <c r="Y1429" s="68">
        <f t="shared" si="354"/>
        <v>0</v>
      </c>
      <c r="Z1429" s="68">
        <f t="shared" si="355"/>
        <v>0</v>
      </c>
      <c r="AA1429" s="68"/>
      <c r="AB1429" s="68">
        <v>0</v>
      </c>
      <c r="AC1429" s="69">
        <f t="shared" si="356"/>
        <v>0</v>
      </c>
      <c r="AD1429" s="70">
        <v>0</v>
      </c>
      <c r="AE1429" s="63">
        <v>40295</v>
      </c>
      <c r="AF1429" s="72"/>
      <c r="AG1429" s="63" t="s">
        <v>938</v>
      </c>
      <c r="AH1429" s="23" t="s">
        <v>939</v>
      </c>
      <c r="AI1429" s="60"/>
      <c r="AJ1429" s="133" t="s">
        <v>1608</v>
      </c>
      <c r="AK1429" s="73" t="s">
        <v>1723</v>
      </c>
      <c r="AL1429" s="3"/>
      <c r="AM1429" s="4"/>
      <c r="AN1429" s="5"/>
      <c r="AO1429" s="4"/>
      <c r="AP1429" s="4"/>
      <c r="AQ1429" s="4"/>
      <c r="AR1429" s="4"/>
      <c r="AS1429" s="4"/>
      <c r="AT1429" s="4"/>
      <c r="AU1429" s="4"/>
      <c r="AV1429" s="4"/>
      <c r="AW1429" s="4"/>
      <c r="AX1429" s="4"/>
      <c r="AY1429" s="4"/>
      <c r="AZ1429" s="4"/>
      <c r="BA1429" s="4"/>
      <c r="BB1429" s="4"/>
      <c r="BC1429" s="4"/>
      <c r="BD1429" s="4"/>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c r="CA1429" s="4"/>
      <c r="CB1429" s="4"/>
      <c r="CC1429" s="4"/>
      <c r="CD1429" s="4"/>
      <c r="CE1429" s="4"/>
      <c r="CF1429" s="4"/>
      <c r="CG1429" s="4"/>
      <c r="CH1429" s="4"/>
      <c r="CI1429" s="4"/>
      <c r="CJ1429" s="4"/>
      <c r="CK1429" s="4"/>
      <c r="CL1429" s="4"/>
      <c r="CM1429" s="4"/>
      <c r="CN1429" s="6"/>
      <c r="CO1429" s="7"/>
      <c r="CP1429" s="6"/>
      <c r="CQ1429" s="7"/>
      <c r="CR1429" s="6"/>
      <c r="CS1429" s="7"/>
      <c r="CT1429" s="8">
        <f t="shared" si="357"/>
        <v>0</v>
      </c>
      <c r="CU1429" s="9"/>
      <c r="CV1429" s="10"/>
      <c r="CW1429" s="11"/>
      <c r="CX1429" s="12"/>
      <c r="CY1429" s="26"/>
      <c r="CZ1429" s="12"/>
      <c r="DA1429" s="9"/>
      <c r="DB1429" s="10"/>
      <c r="DC1429" s="64"/>
      <c r="DD1429" s="22"/>
    </row>
    <row r="1430" spans="1:108" s="119" customFormat="1" ht="24" outlineLevel="2">
      <c r="A1430" s="178">
        <v>40296</v>
      </c>
      <c r="B1430" s="82" t="s">
        <v>905</v>
      </c>
      <c r="C1430" s="82" t="s">
        <v>1879</v>
      </c>
      <c r="D1430" s="165" t="s">
        <v>1262</v>
      </c>
      <c r="E1430" s="167"/>
      <c r="F1430" s="66"/>
      <c r="G1430" s="66"/>
      <c r="H1430" s="66">
        <v>9</v>
      </c>
      <c r="I1430" s="66">
        <v>2</v>
      </c>
      <c r="J1430" s="66"/>
      <c r="K1430" s="66">
        <v>2</v>
      </c>
      <c r="L1430" s="66"/>
      <c r="M1430" s="66"/>
      <c r="N1430" s="66"/>
      <c r="O1430" s="66"/>
      <c r="P1430" s="66"/>
      <c r="Q1430" s="66"/>
      <c r="R1430" s="66"/>
      <c r="S1430" s="66"/>
      <c r="T1430" s="67"/>
      <c r="U1430" s="151"/>
      <c r="V1430" s="1"/>
      <c r="W1430" s="68">
        <f t="shared" si="352"/>
        <v>0</v>
      </c>
      <c r="X1430" s="68">
        <f t="shared" si="353"/>
        <v>0</v>
      </c>
      <c r="Y1430" s="68">
        <f t="shared" si="354"/>
        <v>0</v>
      </c>
      <c r="Z1430" s="68">
        <f t="shared" si="355"/>
        <v>0</v>
      </c>
      <c r="AA1430" s="68"/>
      <c r="AB1430" s="68">
        <v>0</v>
      </c>
      <c r="AC1430" s="69">
        <f t="shared" si="356"/>
        <v>0</v>
      </c>
      <c r="AD1430" s="70">
        <v>0</v>
      </c>
      <c r="AE1430" s="63">
        <v>40296</v>
      </c>
      <c r="AF1430" s="72"/>
      <c r="AG1430" s="63" t="s">
        <v>938</v>
      </c>
      <c r="AH1430" s="23" t="s">
        <v>939</v>
      </c>
      <c r="AI1430" s="60"/>
      <c r="AJ1430" s="133" t="s">
        <v>1608</v>
      </c>
      <c r="AK1430" s="73" t="s">
        <v>1880</v>
      </c>
      <c r="AL1430" s="3"/>
      <c r="AM1430" s="4"/>
      <c r="AN1430" s="5"/>
      <c r="AO1430" s="4"/>
      <c r="AP1430" s="4"/>
      <c r="AQ1430" s="4"/>
      <c r="AR1430" s="4"/>
      <c r="AS1430" s="4"/>
      <c r="AT1430" s="4"/>
      <c r="AU1430" s="4"/>
      <c r="AV1430" s="4"/>
      <c r="AW1430" s="4"/>
      <c r="AX1430" s="4"/>
      <c r="AY1430" s="4"/>
      <c r="AZ1430" s="4"/>
      <c r="BA1430" s="4"/>
      <c r="BB1430" s="4"/>
      <c r="BC1430" s="4"/>
      <c r="BD1430" s="4"/>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c r="CA1430" s="4"/>
      <c r="CB1430" s="4"/>
      <c r="CC1430" s="4"/>
      <c r="CD1430" s="4"/>
      <c r="CE1430" s="4"/>
      <c r="CF1430" s="4"/>
      <c r="CG1430" s="4"/>
      <c r="CH1430" s="4"/>
      <c r="CI1430" s="4"/>
      <c r="CJ1430" s="4"/>
      <c r="CK1430" s="4"/>
      <c r="CL1430" s="4"/>
      <c r="CM1430" s="4"/>
      <c r="CN1430" s="6"/>
      <c r="CO1430" s="7"/>
      <c r="CP1430" s="6"/>
      <c r="CQ1430" s="7"/>
      <c r="CR1430" s="6"/>
      <c r="CS1430" s="7"/>
      <c r="CT1430" s="8">
        <f t="shared" si="357"/>
        <v>0</v>
      </c>
      <c r="CU1430" s="9"/>
      <c r="CV1430" s="10"/>
      <c r="CW1430" s="11"/>
      <c r="CX1430" s="12"/>
      <c r="CY1430" s="26"/>
      <c r="CZ1430" s="12"/>
      <c r="DA1430" s="9"/>
      <c r="DB1430" s="10"/>
      <c r="DC1430" s="64"/>
      <c r="DD1430" s="22"/>
    </row>
    <row r="1431" spans="1:108" s="119" customFormat="1" ht="36" outlineLevel="2">
      <c r="A1431" s="178">
        <v>40301</v>
      </c>
      <c r="B1431" s="82" t="s">
        <v>905</v>
      </c>
      <c r="C1431" s="82" t="s">
        <v>1288</v>
      </c>
      <c r="D1431" s="165" t="s">
        <v>1262</v>
      </c>
      <c r="E1431" s="167"/>
      <c r="F1431" s="66"/>
      <c r="G1431" s="66"/>
      <c r="H1431" s="66">
        <v>240</v>
      </c>
      <c r="I1431" s="66">
        <v>60</v>
      </c>
      <c r="J1431" s="66"/>
      <c r="K1431" s="66">
        <v>60</v>
      </c>
      <c r="L1431" s="66"/>
      <c r="M1431" s="66"/>
      <c r="N1431" s="66"/>
      <c r="O1431" s="66"/>
      <c r="P1431" s="66"/>
      <c r="Q1431" s="66"/>
      <c r="R1431" s="66"/>
      <c r="S1431" s="66"/>
      <c r="T1431" s="67"/>
      <c r="U1431" s="151"/>
      <c r="V1431" s="1"/>
      <c r="W1431" s="68">
        <f t="shared" si="352"/>
        <v>0</v>
      </c>
      <c r="X1431" s="68">
        <f t="shared" si="353"/>
        <v>0</v>
      </c>
      <c r="Y1431" s="68">
        <f t="shared" si="354"/>
        <v>0</v>
      </c>
      <c r="Z1431" s="68">
        <f t="shared" si="355"/>
        <v>0</v>
      </c>
      <c r="AA1431" s="68"/>
      <c r="AB1431" s="68">
        <v>0</v>
      </c>
      <c r="AC1431" s="69">
        <f t="shared" si="356"/>
        <v>0</v>
      </c>
      <c r="AD1431" s="70">
        <v>0</v>
      </c>
      <c r="AE1431" s="63">
        <v>40301</v>
      </c>
      <c r="AF1431" s="72"/>
      <c r="AG1431" s="63" t="s">
        <v>938</v>
      </c>
      <c r="AH1431" s="23" t="s">
        <v>939</v>
      </c>
      <c r="AI1431" s="60"/>
      <c r="AJ1431" s="133" t="s">
        <v>1608</v>
      </c>
      <c r="AK1431" s="73" t="s">
        <v>1851</v>
      </c>
      <c r="AL1431" s="3"/>
      <c r="AM1431" s="4"/>
      <c r="AN1431" s="5"/>
      <c r="AO1431" s="4"/>
      <c r="AP1431" s="4"/>
      <c r="AQ1431" s="4"/>
      <c r="AR1431" s="4"/>
      <c r="AS1431" s="4"/>
      <c r="AT1431" s="4"/>
      <c r="AU1431" s="4"/>
      <c r="AV1431" s="4"/>
      <c r="AW1431" s="4"/>
      <c r="AX1431" s="4"/>
      <c r="AY1431" s="4"/>
      <c r="AZ1431" s="4"/>
      <c r="BA1431" s="4"/>
      <c r="BB1431" s="4"/>
      <c r="BC1431" s="4"/>
      <c r="BD1431" s="4"/>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c r="CA1431" s="4"/>
      <c r="CB1431" s="4"/>
      <c r="CC1431" s="4"/>
      <c r="CD1431" s="4"/>
      <c r="CE1431" s="4"/>
      <c r="CF1431" s="4"/>
      <c r="CG1431" s="4"/>
      <c r="CH1431" s="4"/>
      <c r="CI1431" s="4"/>
      <c r="CJ1431" s="4"/>
      <c r="CK1431" s="4"/>
      <c r="CL1431" s="4"/>
      <c r="CM1431" s="4"/>
      <c r="CN1431" s="6"/>
      <c r="CO1431" s="7"/>
      <c r="CP1431" s="6"/>
      <c r="CQ1431" s="7"/>
      <c r="CR1431" s="6"/>
      <c r="CS1431" s="7"/>
      <c r="CT1431" s="8">
        <f t="shared" si="357"/>
        <v>0</v>
      </c>
      <c r="CU1431" s="9"/>
      <c r="CV1431" s="10"/>
      <c r="CW1431" s="11"/>
      <c r="CX1431" s="12"/>
      <c r="CY1431" s="26"/>
      <c r="CZ1431" s="12"/>
      <c r="DA1431" s="9"/>
      <c r="DB1431" s="10"/>
      <c r="DC1431" s="64"/>
      <c r="DD1431" s="22">
        <v>1030</v>
      </c>
    </row>
    <row r="1432" spans="1:108" s="119" customFormat="1" ht="24" outlineLevel="2">
      <c r="A1432" s="178">
        <v>40302</v>
      </c>
      <c r="B1432" s="82" t="s">
        <v>905</v>
      </c>
      <c r="C1432" s="82" t="s">
        <v>1411</v>
      </c>
      <c r="D1432" s="165" t="s">
        <v>1182</v>
      </c>
      <c r="E1432" s="167"/>
      <c r="F1432" s="66"/>
      <c r="G1432" s="66"/>
      <c r="H1432" s="66"/>
      <c r="I1432" s="66"/>
      <c r="J1432" s="66"/>
      <c r="K1432" s="66"/>
      <c r="L1432" s="66">
        <v>1</v>
      </c>
      <c r="M1432" s="66"/>
      <c r="N1432" s="66"/>
      <c r="O1432" s="66"/>
      <c r="P1432" s="66"/>
      <c r="Q1432" s="66"/>
      <c r="R1432" s="66"/>
      <c r="S1432" s="66"/>
      <c r="T1432" s="67"/>
      <c r="U1432" s="151"/>
      <c r="V1432" s="1"/>
      <c r="W1432" s="68">
        <f t="shared" si="352"/>
        <v>0</v>
      </c>
      <c r="X1432" s="68">
        <f t="shared" si="353"/>
        <v>0</v>
      </c>
      <c r="Y1432" s="68">
        <f t="shared" si="354"/>
        <v>0</v>
      </c>
      <c r="Z1432" s="68">
        <f t="shared" si="355"/>
        <v>0</v>
      </c>
      <c r="AA1432" s="68"/>
      <c r="AB1432" s="68">
        <v>0</v>
      </c>
      <c r="AC1432" s="69">
        <f t="shared" si="356"/>
        <v>0</v>
      </c>
      <c r="AD1432" s="70">
        <v>0</v>
      </c>
      <c r="AE1432" s="63">
        <v>40302</v>
      </c>
      <c r="AF1432" s="72"/>
      <c r="AG1432" s="63" t="s">
        <v>938</v>
      </c>
      <c r="AH1432" s="23" t="s">
        <v>939</v>
      </c>
      <c r="AI1432" s="60"/>
      <c r="AJ1432" s="133" t="s">
        <v>1608</v>
      </c>
      <c r="AK1432" s="73" t="s">
        <v>1276</v>
      </c>
      <c r="AL1432" s="3"/>
      <c r="AM1432" s="4"/>
      <c r="AN1432" s="5"/>
      <c r="AO1432" s="4"/>
      <c r="AP1432" s="4"/>
      <c r="AQ1432" s="4"/>
      <c r="AR1432" s="4"/>
      <c r="AS1432" s="4"/>
      <c r="AT1432" s="4"/>
      <c r="AU1432" s="4"/>
      <c r="AV1432" s="4"/>
      <c r="AW1432" s="4"/>
      <c r="AX1432" s="4"/>
      <c r="AY1432" s="4"/>
      <c r="AZ1432" s="4"/>
      <c r="BA1432" s="4"/>
      <c r="BB1432" s="4"/>
      <c r="BC1432" s="4"/>
      <c r="BD1432" s="4"/>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c r="CA1432" s="4"/>
      <c r="CB1432" s="4"/>
      <c r="CC1432" s="4"/>
      <c r="CD1432" s="4"/>
      <c r="CE1432" s="4"/>
      <c r="CF1432" s="4"/>
      <c r="CG1432" s="4"/>
      <c r="CH1432" s="4"/>
      <c r="CI1432" s="4"/>
      <c r="CJ1432" s="4"/>
      <c r="CK1432" s="4"/>
      <c r="CL1432" s="4"/>
      <c r="CM1432" s="4"/>
      <c r="CN1432" s="6"/>
      <c r="CO1432" s="7"/>
      <c r="CP1432" s="6"/>
      <c r="CQ1432" s="7"/>
      <c r="CR1432" s="6"/>
      <c r="CS1432" s="7"/>
      <c r="CT1432" s="8">
        <f t="shared" si="357"/>
        <v>0</v>
      </c>
      <c r="CU1432" s="9"/>
      <c r="CV1432" s="10"/>
      <c r="CW1432" s="11"/>
      <c r="CX1432" s="12"/>
      <c r="CY1432" s="26"/>
      <c r="CZ1432" s="12"/>
      <c r="DA1432" s="9"/>
      <c r="DB1432" s="10"/>
      <c r="DC1432" s="64"/>
      <c r="DD1432" s="22"/>
    </row>
    <row r="1433" spans="1:108" s="119" customFormat="1" ht="24" outlineLevel="2">
      <c r="A1433" s="178">
        <v>40305</v>
      </c>
      <c r="B1433" s="82" t="s">
        <v>905</v>
      </c>
      <c r="C1433" s="82" t="s">
        <v>1248</v>
      </c>
      <c r="D1433" s="165" t="s">
        <v>1262</v>
      </c>
      <c r="E1433" s="167"/>
      <c r="F1433" s="66"/>
      <c r="G1433" s="66"/>
      <c r="H1433" s="66">
        <f>80*5</f>
        <v>400</v>
      </c>
      <c r="I1433" s="66">
        <v>80</v>
      </c>
      <c r="J1433" s="66"/>
      <c r="K1433" s="66"/>
      <c r="L1433" s="66"/>
      <c r="M1433" s="66"/>
      <c r="N1433" s="66"/>
      <c r="O1433" s="66">
        <v>2</v>
      </c>
      <c r="P1433" s="66"/>
      <c r="Q1433" s="66"/>
      <c r="R1433" s="66"/>
      <c r="S1433" s="66"/>
      <c r="T1433" s="67"/>
      <c r="U1433" s="151"/>
      <c r="V1433" s="1"/>
      <c r="W1433" s="68">
        <f t="shared" si="352"/>
        <v>0</v>
      </c>
      <c r="X1433" s="68">
        <f t="shared" si="353"/>
        <v>0</v>
      </c>
      <c r="Y1433" s="68">
        <f t="shared" si="354"/>
        <v>0</v>
      </c>
      <c r="Z1433" s="68">
        <f t="shared" si="355"/>
        <v>0</v>
      </c>
      <c r="AA1433" s="68"/>
      <c r="AB1433" s="68">
        <v>0</v>
      </c>
      <c r="AC1433" s="69">
        <f t="shared" si="356"/>
        <v>0</v>
      </c>
      <c r="AD1433" s="70">
        <v>0</v>
      </c>
      <c r="AE1433" s="63">
        <v>40330</v>
      </c>
      <c r="AF1433" s="72">
        <v>97944</v>
      </c>
      <c r="AG1433" s="63" t="s">
        <v>938</v>
      </c>
      <c r="AH1433" s="23" t="s">
        <v>939</v>
      </c>
      <c r="AI1433" s="60"/>
      <c r="AJ1433" s="133" t="s">
        <v>1608</v>
      </c>
      <c r="AK1433" s="73" t="s">
        <v>244</v>
      </c>
      <c r="AL1433" s="3"/>
      <c r="AM1433" s="4"/>
      <c r="AN1433" s="5"/>
      <c r="AO1433" s="4"/>
      <c r="AP1433" s="4"/>
      <c r="AQ1433" s="4"/>
      <c r="AR1433" s="4"/>
      <c r="AS1433" s="4"/>
      <c r="AT1433" s="4"/>
      <c r="AU1433" s="4"/>
      <c r="AV1433" s="4"/>
      <c r="AW1433" s="4"/>
      <c r="AX1433" s="4"/>
      <c r="AY1433" s="4"/>
      <c r="AZ1433" s="4"/>
      <c r="BA1433" s="4"/>
      <c r="BB1433" s="4"/>
      <c r="BC1433" s="4"/>
      <c r="BD1433" s="4"/>
      <c r="BE1433" s="4"/>
      <c r="BF1433" s="4"/>
      <c r="BG1433" s="4"/>
      <c r="BH1433" s="4"/>
      <c r="BI1433" s="4"/>
      <c r="BJ1433" s="4"/>
      <c r="BK1433" s="4"/>
      <c r="BL1433" s="4"/>
      <c r="BM1433" s="4"/>
      <c r="BN1433" s="4"/>
      <c r="BO1433" s="4"/>
      <c r="BP1433" s="4"/>
      <c r="BQ1433" s="4"/>
      <c r="BR1433" s="4"/>
      <c r="BS1433" s="4"/>
      <c r="BT1433" s="4"/>
      <c r="BU1433" s="4"/>
      <c r="BV1433" s="4"/>
      <c r="BW1433" s="4"/>
      <c r="BX1433" s="4"/>
      <c r="BY1433" s="4"/>
      <c r="BZ1433" s="4"/>
      <c r="CA1433" s="4"/>
      <c r="CB1433" s="4"/>
      <c r="CC1433" s="4"/>
      <c r="CD1433" s="4"/>
      <c r="CE1433" s="4"/>
      <c r="CF1433" s="4"/>
      <c r="CG1433" s="4"/>
      <c r="CH1433" s="4"/>
      <c r="CI1433" s="4"/>
      <c r="CJ1433" s="4"/>
      <c r="CK1433" s="4"/>
      <c r="CL1433" s="4"/>
      <c r="CM1433" s="4"/>
      <c r="CN1433" s="6"/>
      <c r="CO1433" s="7"/>
      <c r="CP1433" s="6"/>
      <c r="CQ1433" s="7"/>
      <c r="CR1433" s="6"/>
      <c r="CS1433" s="7"/>
      <c r="CT1433" s="8">
        <f t="shared" si="357"/>
        <v>0</v>
      </c>
      <c r="CU1433" s="9"/>
      <c r="CV1433" s="10"/>
      <c r="CW1433" s="11"/>
      <c r="CX1433" s="12"/>
      <c r="CY1433" s="26"/>
      <c r="CZ1433" s="12"/>
      <c r="DA1433" s="9"/>
      <c r="DB1433" s="10"/>
      <c r="DC1433" s="64"/>
      <c r="DD1433" s="22"/>
    </row>
    <row r="1434" spans="1:108" s="119" customFormat="1" ht="45" outlineLevel="2">
      <c r="A1434" s="178">
        <v>40308</v>
      </c>
      <c r="B1434" s="82" t="s">
        <v>905</v>
      </c>
      <c r="C1434" s="82" t="s">
        <v>1411</v>
      </c>
      <c r="D1434" s="165" t="s">
        <v>1182</v>
      </c>
      <c r="E1434" s="167"/>
      <c r="F1434" s="66"/>
      <c r="G1434" s="66"/>
      <c r="H1434" s="66">
        <f>17*5</f>
        <v>85</v>
      </c>
      <c r="I1434" s="66">
        <v>17</v>
      </c>
      <c r="J1434" s="66">
        <v>6</v>
      </c>
      <c r="K1434" s="66">
        <v>11</v>
      </c>
      <c r="L1434" s="66"/>
      <c r="M1434" s="66"/>
      <c r="N1434" s="66"/>
      <c r="O1434" s="66"/>
      <c r="P1434" s="66"/>
      <c r="Q1434" s="66"/>
      <c r="R1434" s="66"/>
      <c r="S1434" s="66"/>
      <c r="T1434" s="67"/>
      <c r="U1434" s="151" t="s">
        <v>1676</v>
      </c>
      <c r="V1434" s="1">
        <v>40354</v>
      </c>
      <c r="W1434" s="68">
        <f t="shared" si="352"/>
        <v>6001000</v>
      </c>
      <c r="X1434" s="68">
        <f t="shared" si="353"/>
        <v>1445000</v>
      </c>
      <c r="Y1434" s="68">
        <f t="shared" si="354"/>
        <v>0</v>
      </c>
      <c r="Z1434" s="68">
        <f t="shared" si="355"/>
        <v>0</v>
      </c>
      <c r="AA1434" s="68"/>
      <c r="AB1434" s="68">
        <v>0</v>
      </c>
      <c r="AC1434" s="69">
        <f t="shared" si="356"/>
        <v>7446000</v>
      </c>
      <c r="AD1434" s="70">
        <v>0</v>
      </c>
      <c r="AE1434" s="63">
        <v>40330</v>
      </c>
      <c r="AF1434" s="72">
        <v>97944</v>
      </c>
      <c r="AG1434" s="63" t="s">
        <v>954</v>
      </c>
      <c r="AH1434" s="23" t="s">
        <v>955</v>
      </c>
      <c r="AI1434" s="75" t="s">
        <v>979</v>
      </c>
      <c r="AJ1434" s="133" t="s">
        <v>415</v>
      </c>
      <c r="AK1434" s="73" t="s">
        <v>1427</v>
      </c>
      <c r="AL1434" s="3"/>
      <c r="AM1434" s="4"/>
      <c r="AN1434" s="5"/>
      <c r="AO1434" s="4"/>
      <c r="AP1434" s="4"/>
      <c r="AQ1434" s="4"/>
      <c r="AR1434" s="4"/>
      <c r="AS1434" s="4"/>
      <c r="AT1434" s="4"/>
      <c r="AU1434" s="4"/>
      <c r="AV1434" s="4"/>
      <c r="AW1434" s="4"/>
      <c r="AX1434" s="4">
        <v>85</v>
      </c>
      <c r="AY1434" s="4">
        <f>85*56000</f>
        <v>4760000</v>
      </c>
      <c r="AZ1434" s="4"/>
      <c r="BA1434" s="4"/>
      <c r="BB1434" s="4"/>
      <c r="BC1434" s="4"/>
      <c r="BD1434" s="4"/>
      <c r="BE1434" s="4"/>
      <c r="BF1434" s="4"/>
      <c r="BG1434" s="4"/>
      <c r="BH1434" s="4"/>
      <c r="BI1434" s="4"/>
      <c r="BJ1434" s="4"/>
      <c r="BK1434" s="4"/>
      <c r="BL1434" s="4"/>
      <c r="BM1434" s="4"/>
      <c r="BN1434" s="4"/>
      <c r="BO1434" s="4"/>
      <c r="BP1434" s="4"/>
      <c r="BQ1434" s="4"/>
      <c r="BR1434" s="4"/>
      <c r="BS1434" s="4"/>
      <c r="BT1434" s="4"/>
      <c r="BU1434" s="4"/>
      <c r="BV1434" s="4"/>
      <c r="BW1434" s="4"/>
      <c r="BX1434" s="4"/>
      <c r="BY1434" s="4"/>
      <c r="BZ1434" s="4"/>
      <c r="CA1434" s="4"/>
      <c r="CB1434" s="4"/>
      <c r="CC1434" s="4"/>
      <c r="CD1434" s="4"/>
      <c r="CE1434" s="4"/>
      <c r="CF1434" s="4"/>
      <c r="CG1434" s="4"/>
      <c r="CH1434" s="4"/>
      <c r="CI1434" s="4"/>
      <c r="CJ1434" s="4"/>
      <c r="CK1434" s="4"/>
      <c r="CL1434" s="4"/>
      <c r="CM1434" s="4"/>
      <c r="CN1434" s="6">
        <v>17</v>
      </c>
      <c r="CO1434" s="7">
        <f>17*37000</f>
        <v>629000</v>
      </c>
      <c r="CP1434" s="6">
        <v>17</v>
      </c>
      <c r="CQ1434" s="7">
        <f>17*36000</f>
        <v>612000</v>
      </c>
      <c r="CR1434" s="6"/>
      <c r="CS1434" s="7"/>
      <c r="CT1434" s="8">
        <f t="shared" si="357"/>
        <v>6001000</v>
      </c>
      <c r="CU1434" s="9"/>
      <c r="CV1434" s="10"/>
      <c r="CW1434" s="11">
        <v>17</v>
      </c>
      <c r="CX1434" s="12">
        <f>17*85000</f>
        <v>1445000</v>
      </c>
      <c r="CY1434" s="26"/>
      <c r="CZ1434" s="12"/>
      <c r="DA1434" s="9"/>
      <c r="DB1434" s="10"/>
      <c r="DC1434" s="64"/>
      <c r="DD1434" s="22"/>
    </row>
    <row r="1435" spans="1:108" s="119" customFormat="1" ht="45" outlineLevel="2">
      <c r="A1435" s="178">
        <v>40322</v>
      </c>
      <c r="B1435" s="82" t="s">
        <v>905</v>
      </c>
      <c r="C1435" s="82" t="s">
        <v>876</v>
      </c>
      <c r="D1435" s="165" t="s">
        <v>1262</v>
      </c>
      <c r="E1435" s="167"/>
      <c r="F1435" s="66"/>
      <c r="G1435" s="66"/>
      <c r="H1435" s="66">
        <f>57*5</f>
        <v>285</v>
      </c>
      <c r="I1435" s="66">
        <v>57</v>
      </c>
      <c r="J1435" s="66">
        <v>27</v>
      </c>
      <c r="K1435" s="66">
        <v>21</v>
      </c>
      <c r="L1435" s="66"/>
      <c r="M1435" s="66"/>
      <c r="N1435" s="66"/>
      <c r="O1435" s="66"/>
      <c r="P1435" s="66"/>
      <c r="Q1435" s="66"/>
      <c r="R1435" s="66"/>
      <c r="S1435" s="66"/>
      <c r="T1435" s="67"/>
      <c r="U1435" s="151"/>
      <c r="V1435" s="1">
        <v>40354</v>
      </c>
      <c r="W1435" s="68">
        <f t="shared" si="352"/>
        <v>13737000</v>
      </c>
      <c r="X1435" s="68">
        <f t="shared" si="353"/>
        <v>4845000</v>
      </c>
      <c r="Y1435" s="68">
        <f t="shared" si="354"/>
        <v>12044000</v>
      </c>
      <c r="Z1435" s="68">
        <f t="shared" si="355"/>
        <v>0</v>
      </c>
      <c r="AA1435" s="68"/>
      <c r="AB1435" s="68">
        <v>0</v>
      </c>
      <c r="AC1435" s="69">
        <f t="shared" si="356"/>
        <v>30626000</v>
      </c>
      <c r="AD1435" s="70">
        <v>0</v>
      </c>
      <c r="AE1435" s="63">
        <v>40330</v>
      </c>
      <c r="AF1435" s="72">
        <v>97944</v>
      </c>
      <c r="AG1435" s="63" t="s">
        <v>954</v>
      </c>
      <c r="AH1435" s="23" t="s">
        <v>955</v>
      </c>
      <c r="AI1435" s="75" t="s">
        <v>979</v>
      </c>
      <c r="AJ1435" s="133" t="s">
        <v>415</v>
      </c>
      <c r="AK1435" s="73" t="s">
        <v>428</v>
      </c>
      <c r="AL1435" s="3"/>
      <c r="AM1435" s="4"/>
      <c r="AN1435" s="5"/>
      <c r="AO1435" s="4"/>
      <c r="AP1435" s="4"/>
      <c r="AQ1435" s="4"/>
      <c r="AR1435" s="4"/>
      <c r="AS1435" s="4"/>
      <c r="AT1435" s="4"/>
      <c r="AU1435" s="4"/>
      <c r="AV1435" s="4"/>
      <c r="AW1435" s="4"/>
      <c r="AX1435" s="4">
        <v>171</v>
      </c>
      <c r="AY1435" s="4">
        <f>171*56000</f>
        <v>9576000</v>
      </c>
      <c r="AZ1435" s="4"/>
      <c r="BA1435" s="4"/>
      <c r="BB1435" s="4"/>
      <c r="BC1435" s="4"/>
      <c r="BD1435" s="4"/>
      <c r="BE1435" s="4"/>
      <c r="BF1435" s="4"/>
      <c r="BG1435" s="4"/>
      <c r="BH1435" s="4"/>
      <c r="BI1435" s="4"/>
      <c r="BJ1435" s="4"/>
      <c r="BK1435" s="4"/>
      <c r="BL1435" s="4"/>
      <c r="BM1435" s="4"/>
      <c r="BN1435" s="4"/>
      <c r="BO1435" s="4"/>
      <c r="BP1435" s="4"/>
      <c r="BQ1435" s="4"/>
      <c r="BR1435" s="4"/>
      <c r="BS1435" s="4"/>
      <c r="BT1435" s="4"/>
      <c r="BU1435" s="4"/>
      <c r="BV1435" s="4"/>
      <c r="BW1435" s="4"/>
      <c r="BX1435" s="4"/>
      <c r="BY1435" s="4"/>
      <c r="BZ1435" s="4"/>
      <c r="CA1435" s="4"/>
      <c r="CB1435" s="4"/>
      <c r="CC1435" s="4"/>
      <c r="CD1435" s="4"/>
      <c r="CE1435" s="4"/>
      <c r="CF1435" s="4"/>
      <c r="CG1435" s="4"/>
      <c r="CH1435" s="4"/>
      <c r="CI1435" s="4"/>
      <c r="CJ1435" s="4"/>
      <c r="CK1435" s="4"/>
      <c r="CL1435" s="4"/>
      <c r="CM1435" s="4"/>
      <c r="CN1435" s="6">
        <v>57</v>
      </c>
      <c r="CO1435" s="7">
        <f>57*37000</f>
        <v>2109000</v>
      </c>
      <c r="CP1435" s="6">
        <v>57</v>
      </c>
      <c r="CQ1435" s="7">
        <f>57*36000</f>
        <v>2052000</v>
      </c>
      <c r="CR1435" s="6"/>
      <c r="CS1435" s="7"/>
      <c r="CT1435" s="8">
        <f t="shared" si="357"/>
        <v>13737000</v>
      </c>
      <c r="CU1435" s="9"/>
      <c r="CV1435" s="10"/>
      <c r="CW1435" s="11">
        <v>57</v>
      </c>
      <c r="CX1435" s="12">
        <f>57*85000</f>
        <v>4845000</v>
      </c>
      <c r="CY1435" s="26"/>
      <c r="CZ1435" s="12"/>
      <c r="DA1435" s="9">
        <v>500</v>
      </c>
      <c r="DB1435" s="10">
        <f>500*22000+3000*348</f>
        <v>12044000</v>
      </c>
      <c r="DC1435" s="64"/>
      <c r="DD1435" s="22"/>
    </row>
    <row r="1436" spans="1:108" s="119" customFormat="1" ht="72" outlineLevel="2">
      <c r="A1436" s="178">
        <v>40322</v>
      </c>
      <c r="B1436" s="82" t="s">
        <v>905</v>
      </c>
      <c r="C1436" s="82" t="s">
        <v>853</v>
      </c>
      <c r="D1436" s="165" t="s">
        <v>1262</v>
      </c>
      <c r="E1436" s="167"/>
      <c r="F1436" s="66"/>
      <c r="G1436" s="66"/>
      <c r="H1436" s="66">
        <v>3700</v>
      </c>
      <c r="I1436" s="66">
        <v>740</v>
      </c>
      <c r="J1436" s="66"/>
      <c r="K1436" s="66"/>
      <c r="L1436" s="66"/>
      <c r="M1436" s="66"/>
      <c r="N1436" s="66"/>
      <c r="O1436" s="66">
        <v>1</v>
      </c>
      <c r="P1436" s="66"/>
      <c r="Q1436" s="66"/>
      <c r="R1436" s="66"/>
      <c r="S1436" s="66"/>
      <c r="T1436" s="67"/>
      <c r="U1436" s="151"/>
      <c r="V1436" s="1"/>
      <c r="W1436" s="68">
        <f t="shared" si="352"/>
        <v>0</v>
      </c>
      <c r="X1436" s="68">
        <f t="shared" si="353"/>
        <v>0</v>
      </c>
      <c r="Y1436" s="68">
        <f t="shared" si="354"/>
        <v>0</v>
      </c>
      <c r="Z1436" s="68">
        <f t="shared" si="355"/>
        <v>0</v>
      </c>
      <c r="AA1436" s="68"/>
      <c r="AB1436" s="68">
        <v>0</v>
      </c>
      <c r="AC1436" s="69">
        <f t="shared" si="356"/>
        <v>0</v>
      </c>
      <c r="AD1436" s="70">
        <v>0</v>
      </c>
      <c r="AE1436" s="63">
        <v>40323</v>
      </c>
      <c r="AF1436" s="72"/>
      <c r="AG1436" s="63" t="s">
        <v>938</v>
      </c>
      <c r="AH1436" s="23" t="s">
        <v>939</v>
      </c>
      <c r="AI1436" s="60"/>
      <c r="AJ1436" s="133" t="s">
        <v>1608</v>
      </c>
      <c r="AK1436" s="73" t="s">
        <v>963</v>
      </c>
      <c r="AL1436" s="3"/>
      <c r="AM1436" s="4"/>
      <c r="AN1436" s="5"/>
      <c r="AO1436" s="4"/>
      <c r="AP1436" s="4"/>
      <c r="AQ1436" s="4"/>
      <c r="AR1436" s="4"/>
      <c r="AS1436" s="4"/>
      <c r="AT1436" s="4"/>
      <c r="AU1436" s="4"/>
      <c r="AV1436" s="4"/>
      <c r="AW1436" s="4"/>
      <c r="AX1436" s="4"/>
      <c r="AY1436" s="4"/>
      <c r="AZ1436" s="4"/>
      <c r="BA1436" s="4"/>
      <c r="BB1436" s="4"/>
      <c r="BC1436" s="4"/>
      <c r="BD1436" s="4"/>
      <c r="BE1436" s="4"/>
      <c r="BF1436" s="4"/>
      <c r="BG1436" s="4"/>
      <c r="BH1436" s="4"/>
      <c r="BI1436" s="4"/>
      <c r="BJ1436" s="4"/>
      <c r="BK1436" s="4"/>
      <c r="BL1436" s="4"/>
      <c r="BM1436" s="4"/>
      <c r="BN1436" s="4"/>
      <c r="BO1436" s="4"/>
      <c r="BP1436" s="4"/>
      <c r="BQ1436" s="4"/>
      <c r="BR1436" s="4"/>
      <c r="BS1436" s="4"/>
      <c r="BT1436" s="4"/>
      <c r="BU1436" s="4"/>
      <c r="BV1436" s="4"/>
      <c r="BW1436" s="4"/>
      <c r="BX1436" s="4"/>
      <c r="BY1436" s="4"/>
      <c r="BZ1436" s="4"/>
      <c r="CA1436" s="4"/>
      <c r="CB1436" s="4"/>
      <c r="CC1436" s="4"/>
      <c r="CD1436" s="4"/>
      <c r="CE1436" s="4"/>
      <c r="CF1436" s="4"/>
      <c r="CG1436" s="4"/>
      <c r="CH1436" s="4"/>
      <c r="CI1436" s="4"/>
      <c r="CJ1436" s="4"/>
      <c r="CK1436" s="4"/>
      <c r="CL1436" s="4"/>
      <c r="CM1436" s="4"/>
      <c r="CN1436" s="6"/>
      <c r="CO1436" s="7"/>
      <c r="CP1436" s="6"/>
      <c r="CQ1436" s="7"/>
      <c r="CR1436" s="6"/>
      <c r="CS1436" s="7"/>
      <c r="CT1436" s="8">
        <f t="shared" si="357"/>
        <v>0</v>
      </c>
      <c r="CU1436" s="9"/>
      <c r="CV1436" s="10"/>
      <c r="CW1436" s="11"/>
      <c r="CX1436" s="12"/>
      <c r="CY1436" s="26"/>
      <c r="CZ1436" s="12"/>
      <c r="DA1436" s="9"/>
      <c r="DB1436" s="10"/>
      <c r="DC1436" s="64"/>
      <c r="DD1436" s="22"/>
    </row>
    <row r="1437" spans="1:108" s="119" customFormat="1" ht="45" outlineLevel="2">
      <c r="A1437" s="178">
        <v>40322</v>
      </c>
      <c r="B1437" s="82" t="s">
        <v>905</v>
      </c>
      <c r="C1437" s="82" t="s">
        <v>853</v>
      </c>
      <c r="D1437" s="165" t="s">
        <v>1262</v>
      </c>
      <c r="E1437" s="167"/>
      <c r="F1437" s="66"/>
      <c r="G1437" s="66"/>
      <c r="H1437" s="66">
        <f>59*5</f>
        <v>295</v>
      </c>
      <c r="I1437" s="66">
        <v>59</v>
      </c>
      <c r="J1437" s="66">
        <v>2</v>
      </c>
      <c r="K1437" s="66">
        <v>10</v>
      </c>
      <c r="L1437" s="66">
        <v>3</v>
      </c>
      <c r="M1437" s="66">
        <v>1</v>
      </c>
      <c r="N1437" s="66"/>
      <c r="O1437" s="66"/>
      <c r="P1437" s="66"/>
      <c r="Q1437" s="66"/>
      <c r="R1437" s="66"/>
      <c r="S1437" s="66"/>
      <c r="T1437" s="67">
        <v>75</v>
      </c>
      <c r="U1437" s="151" t="s">
        <v>414</v>
      </c>
      <c r="V1437" s="1">
        <v>40354</v>
      </c>
      <c r="W1437" s="68">
        <f t="shared" si="352"/>
        <v>10915000</v>
      </c>
      <c r="X1437" s="68">
        <f t="shared" si="353"/>
        <v>5015000</v>
      </c>
      <c r="Y1437" s="68">
        <f t="shared" si="354"/>
        <v>12044000</v>
      </c>
      <c r="Z1437" s="68">
        <f t="shared" si="355"/>
        <v>0</v>
      </c>
      <c r="AA1437" s="68"/>
      <c r="AB1437" s="68">
        <v>0</v>
      </c>
      <c r="AC1437" s="69">
        <f t="shared" si="356"/>
        <v>27974000</v>
      </c>
      <c r="AD1437" s="70">
        <v>0</v>
      </c>
      <c r="AE1437" s="63">
        <v>40330</v>
      </c>
      <c r="AF1437" s="72">
        <v>97944</v>
      </c>
      <c r="AG1437" s="63" t="s">
        <v>954</v>
      </c>
      <c r="AH1437" s="23" t="s">
        <v>955</v>
      </c>
      <c r="AI1437" s="75" t="s">
        <v>979</v>
      </c>
      <c r="AJ1437" s="133" t="s">
        <v>415</v>
      </c>
      <c r="AK1437" s="73" t="s">
        <v>1386</v>
      </c>
      <c r="AL1437" s="3"/>
      <c r="AM1437" s="4"/>
      <c r="AN1437" s="5"/>
      <c r="AO1437" s="4"/>
      <c r="AP1437" s="4"/>
      <c r="AQ1437" s="4"/>
      <c r="AR1437" s="4"/>
      <c r="AS1437" s="4"/>
      <c r="AT1437" s="4"/>
      <c r="AU1437" s="4"/>
      <c r="AV1437" s="4"/>
      <c r="AW1437" s="4"/>
      <c r="AX1437" s="4">
        <v>118</v>
      </c>
      <c r="AY1437" s="4">
        <f>118*56000</f>
        <v>6608000</v>
      </c>
      <c r="AZ1437" s="4"/>
      <c r="BA1437" s="4"/>
      <c r="BB1437" s="4"/>
      <c r="BC1437" s="4"/>
      <c r="BD1437" s="4"/>
      <c r="BE1437" s="4"/>
      <c r="BF1437" s="4"/>
      <c r="BG1437" s="4"/>
      <c r="BH1437" s="4"/>
      <c r="BI1437" s="4"/>
      <c r="BJ1437" s="4"/>
      <c r="BK1437" s="4"/>
      <c r="BL1437" s="4"/>
      <c r="BM1437" s="4"/>
      <c r="BN1437" s="4"/>
      <c r="BO1437" s="4"/>
      <c r="BP1437" s="4"/>
      <c r="BQ1437" s="4"/>
      <c r="BR1437" s="4"/>
      <c r="BS1437" s="4"/>
      <c r="BT1437" s="4"/>
      <c r="BU1437" s="4"/>
      <c r="BV1437" s="4"/>
      <c r="BW1437" s="4"/>
      <c r="BX1437" s="4"/>
      <c r="BY1437" s="4"/>
      <c r="BZ1437" s="4"/>
      <c r="CA1437" s="4"/>
      <c r="CB1437" s="4"/>
      <c r="CC1437" s="4"/>
      <c r="CD1437" s="4"/>
      <c r="CE1437" s="4"/>
      <c r="CF1437" s="4"/>
      <c r="CG1437" s="4"/>
      <c r="CH1437" s="4"/>
      <c r="CI1437" s="4"/>
      <c r="CJ1437" s="4"/>
      <c r="CK1437" s="4"/>
      <c r="CL1437" s="4"/>
      <c r="CM1437" s="4"/>
      <c r="CN1437" s="6">
        <v>59</v>
      </c>
      <c r="CO1437" s="7">
        <f>59*37000</f>
        <v>2183000</v>
      </c>
      <c r="CP1437" s="6">
        <v>59</v>
      </c>
      <c r="CQ1437" s="7">
        <f>59*36000</f>
        <v>2124000</v>
      </c>
      <c r="CR1437" s="6"/>
      <c r="CS1437" s="7"/>
      <c r="CT1437" s="8">
        <f t="shared" si="357"/>
        <v>10915000</v>
      </c>
      <c r="CU1437" s="9"/>
      <c r="CV1437" s="10"/>
      <c r="CW1437" s="11">
        <v>59</v>
      </c>
      <c r="CX1437" s="12">
        <f>59*85000</f>
        <v>5015000</v>
      </c>
      <c r="CY1437" s="26"/>
      <c r="CZ1437" s="12"/>
      <c r="DA1437" s="9">
        <v>500</v>
      </c>
      <c r="DB1437" s="10">
        <f>500*22000+3000*348</f>
        <v>12044000</v>
      </c>
      <c r="DC1437" s="64"/>
      <c r="DD1437" s="22"/>
    </row>
    <row r="1438" spans="1:108" s="119" customFormat="1" ht="24" outlineLevel="2">
      <c r="A1438" s="178">
        <v>40322</v>
      </c>
      <c r="B1438" s="82" t="s">
        <v>905</v>
      </c>
      <c r="C1438" s="82" t="s">
        <v>874</v>
      </c>
      <c r="D1438" s="165" t="s">
        <v>1262</v>
      </c>
      <c r="E1438" s="167"/>
      <c r="F1438" s="66"/>
      <c r="G1438" s="66"/>
      <c r="H1438" s="66">
        <v>5</v>
      </c>
      <c r="I1438" s="66">
        <v>1</v>
      </c>
      <c r="J1438" s="66"/>
      <c r="K1438" s="66">
        <v>1</v>
      </c>
      <c r="L1438" s="66"/>
      <c r="M1438" s="66"/>
      <c r="N1438" s="66"/>
      <c r="O1438" s="66"/>
      <c r="P1438" s="66"/>
      <c r="Q1438" s="66"/>
      <c r="R1438" s="66"/>
      <c r="S1438" s="66"/>
      <c r="T1438" s="67"/>
      <c r="U1438" s="151"/>
      <c r="V1438" s="1"/>
      <c r="W1438" s="68">
        <f t="shared" si="352"/>
        <v>0</v>
      </c>
      <c r="X1438" s="68">
        <f t="shared" si="353"/>
        <v>0</v>
      </c>
      <c r="Y1438" s="68">
        <f t="shared" si="354"/>
        <v>0</v>
      </c>
      <c r="Z1438" s="68">
        <f t="shared" si="355"/>
        <v>0</v>
      </c>
      <c r="AA1438" s="68"/>
      <c r="AB1438" s="68">
        <v>0</v>
      </c>
      <c r="AC1438" s="69">
        <f t="shared" si="356"/>
        <v>0</v>
      </c>
      <c r="AD1438" s="70">
        <v>0</v>
      </c>
      <c r="AE1438" s="63">
        <v>40323</v>
      </c>
      <c r="AF1438" s="72"/>
      <c r="AG1438" s="63" t="s">
        <v>938</v>
      </c>
      <c r="AH1438" s="23" t="s">
        <v>939</v>
      </c>
      <c r="AI1438" s="60"/>
      <c r="AJ1438" s="133" t="s">
        <v>1608</v>
      </c>
      <c r="AK1438" s="73" t="s">
        <v>429</v>
      </c>
      <c r="AL1438" s="3"/>
      <c r="AM1438" s="4"/>
      <c r="AN1438" s="5"/>
      <c r="AO1438" s="4"/>
      <c r="AP1438" s="4"/>
      <c r="AQ1438" s="4"/>
      <c r="AR1438" s="4"/>
      <c r="AS1438" s="4"/>
      <c r="AT1438" s="4"/>
      <c r="AU1438" s="4"/>
      <c r="AV1438" s="4"/>
      <c r="AW1438" s="4"/>
      <c r="AX1438" s="4"/>
      <c r="AY1438" s="4"/>
      <c r="AZ1438" s="4"/>
      <c r="BA1438" s="4"/>
      <c r="BB1438" s="4"/>
      <c r="BC1438" s="4"/>
      <c r="BD1438" s="4"/>
      <c r="BE1438" s="4"/>
      <c r="BF1438" s="4"/>
      <c r="BG1438" s="4"/>
      <c r="BH1438" s="4"/>
      <c r="BI1438" s="4"/>
      <c r="BJ1438" s="4"/>
      <c r="BK1438" s="4"/>
      <c r="BL1438" s="4"/>
      <c r="BM1438" s="4"/>
      <c r="BN1438" s="4"/>
      <c r="BO1438" s="4"/>
      <c r="BP1438" s="4"/>
      <c r="BQ1438" s="4"/>
      <c r="BR1438" s="4"/>
      <c r="BS1438" s="4"/>
      <c r="BT1438" s="4"/>
      <c r="BU1438" s="4"/>
      <c r="BV1438" s="4"/>
      <c r="BW1438" s="4"/>
      <c r="BX1438" s="4"/>
      <c r="BY1438" s="4"/>
      <c r="BZ1438" s="4"/>
      <c r="CA1438" s="4"/>
      <c r="CB1438" s="4"/>
      <c r="CC1438" s="4"/>
      <c r="CD1438" s="4"/>
      <c r="CE1438" s="4"/>
      <c r="CF1438" s="4"/>
      <c r="CG1438" s="4"/>
      <c r="CH1438" s="4"/>
      <c r="CI1438" s="4"/>
      <c r="CJ1438" s="4"/>
      <c r="CK1438" s="4"/>
      <c r="CL1438" s="4"/>
      <c r="CM1438" s="4"/>
      <c r="CN1438" s="6"/>
      <c r="CO1438" s="7"/>
      <c r="CP1438" s="6"/>
      <c r="CQ1438" s="7"/>
      <c r="CR1438" s="6"/>
      <c r="CS1438" s="7"/>
      <c r="CT1438" s="8">
        <f t="shared" si="357"/>
        <v>0</v>
      </c>
      <c r="CU1438" s="9"/>
      <c r="CV1438" s="10"/>
      <c r="CW1438" s="11"/>
      <c r="CX1438" s="12"/>
      <c r="CY1438" s="26"/>
      <c r="CZ1438" s="12"/>
      <c r="DA1438" s="9"/>
      <c r="DB1438" s="10"/>
      <c r="DC1438" s="64"/>
      <c r="DD1438" s="22"/>
    </row>
    <row r="1439" spans="1:108" s="119" customFormat="1" ht="24" outlineLevel="2">
      <c r="A1439" s="178">
        <v>40326</v>
      </c>
      <c r="B1439" s="82" t="s">
        <v>905</v>
      </c>
      <c r="C1439" s="82" t="s">
        <v>1951</v>
      </c>
      <c r="D1439" s="165" t="s">
        <v>1262</v>
      </c>
      <c r="E1439" s="167"/>
      <c r="F1439" s="66"/>
      <c r="G1439" s="66"/>
      <c r="H1439" s="66">
        <v>550</v>
      </c>
      <c r="I1439" s="66">
        <v>110</v>
      </c>
      <c r="J1439" s="66"/>
      <c r="K1439" s="66">
        <v>110</v>
      </c>
      <c r="L1439" s="66"/>
      <c r="M1439" s="66"/>
      <c r="N1439" s="66"/>
      <c r="O1439" s="66"/>
      <c r="P1439" s="66"/>
      <c r="Q1439" s="66"/>
      <c r="R1439" s="66"/>
      <c r="S1439" s="66"/>
      <c r="T1439" s="67"/>
      <c r="U1439" s="151"/>
      <c r="V1439" s="1"/>
      <c r="W1439" s="68">
        <f t="shared" si="352"/>
        <v>0</v>
      </c>
      <c r="X1439" s="68">
        <f t="shared" si="353"/>
        <v>0</v>
      </c>
      <c r="Y1439" s="68">
        <f t="shared" si="354"/>
        <v>0</v>
      </c>
      <c r="Z1439" s="68">
        <f t="shared" si="355"/>
        <v>0</v>
      </c>
      <c r="AA1439" s="68"/>
      <c r="AB1439" s="68">
        <v>0</v>
      </c>
      <c r="AC1439" s="69">
        <f t="shared" si="356"/>
        <v>0</v>
      </c>
      <c r="AD1439" s="70">
        <v>0</v>
      </c>
      <c r="AE1439" s="63">
        <v>40331</v>
      </c>
      <c r="AF1439" s="72"/>
      <c r="AG1439" s="63" t="s">
        <v>938</v>
      </c>
      <c r="AH1439" s="23" t="s">
        <v>939</v>
      </c>
      <c r="AI1439" s="60"/>
      <c r="AJ1439" s="133" t="s">
        <v>1608</v>
      </c>
      <c r="AK1439" s="73" t="s">
        <v>1767</v>
      </c>
      <c r="AL1439" s="3"/>
      <c r="AM1439" s="4"/>
      <c r="AN1439" s="5"/>
      <c r="AO1439" s="4"/>
      <c r="AP1439" s="4"/>
      <c r="AQ1439" s="4"/>
      <c r="AR1439" s="4"/>
      <c r="AS1439" s="4"/>
      <c r="AT1439" s="4"/>
      <c r="AU1439" s="4"/>
      <c r="AV1439" s="4"/>
      <c r="AW1439" s="4"/>
      <c r="AX1439" s="4"/>
      <c r="AY1439" s="4"/>
      <c r="AZ1439" s="4"/>
      <c r="BA1439" s="4"/>
      <c r="BB1439" s="4"/>
      <c r="BC1439" s="4"/>
      <c r="BD1439" s="4"/>
      <c r="BE1439" s="4"/>
      <c r="BF1439" s="4"/>
      <c r="BG1439" s="4"/>
      <c r="BH1439" s="4"/>
      <c r="BI1439" s="4"/>
      <c r="BJ1439" s="4"/>
      <c r="BK1439" s="4"/>
      <c r="BL1439" s="4"/>
      <c r="BM1439" s="4"/>
      <c r="BN1439" s="4"/>
      <c r="BO1439" s="4"/>
      <c r="BP1439" s="4"/>
      <c r="BQ1439" s="4"/>
      <c r="BR1439" s="4"/>
      <c r="BS1439" s="4"/>
      <c r="BT1439" s="4"/>
      <c r="BU1439" s="4"/>
      <c r="BV1439" s="4"/>
      <c r="BW1439" s="4"/>
      <c r="BX1439" s="4"/>
      <c r="BY1439" s="4"/>
      <c r="BZ1439" s="4"/>
      <c r="CA1439" s="4"/>
      <c r="CB1439" s="4"/>
      <c r="CC1439" s="4"/>
      <c r="CD1439" s="4"/>
      <c r="CE1439" s="4"/>
      <c r="CF1439" s="4"/>
      <c r="CG1439" s="4"/>
      <c r="CH1439" s="4"/>
      <c r="CI1439" s="4"/>
      <c r="CJ1439" s="4"/>
      <c r="CK1439" s="4"/>
      <c r="CL1439" s="4"/>
      <c r="CM1439" s="4"/>
      <c r="CN1439" s="6"/>
      <c r="CO1439" s="7"/>
      <c r="CP1439" s="6"/>
      <c r="CQ1439" s="7"/>
      <c r="CR1439" s="6"/>
      <c r="CS1439" s="7"/>
      <c r="CT1439" s="8">
        <f t="shared" si="357"/>
        <v>0</v>
      </c>
      <c r="CU1439" s="9"/>
      <c r="CV1439" s="10"/>
      <c r="CW1439" s="11"/>
      <c r="CX1439" s="12"/>
      <c r="CY1439" s="26"/>
      <c r="CZ1439" s="12"/>
      <c r="DA1439" s="9"/>
      <c r="DB1439" s="10"/>
      <c r="DC1439" s="64"/>
      <c r="DD1439" s="22"/>
    </row>
    <row r="1440" spans="1:108" s="119" customFormat="1" ht="24" outlineLevel="2">
      <c r="A1440" s="178">
        <v>40326</v>
      </c>
      <c r="B1440" s="82" t="s">
        <v>905</v>
      </c>
      <c r="C1440" s="82" t="s">
        <v>1724</v>
      </c>
      <c r="D1440" s="165" t="s">
        <v>1262</v>
      </c>
      <c r="E1440" s="167"/>
      <c r="F1440" s="66"/>
      <c r="G1440" s="66"/>
      <c r="H1440" s="66"/>
      <c r="I1440" s="66"/>
      <c r="J1440" s="66"/>
      <c r="K1440" s="66"/>
      <c r="L1440" s="66"/>
      <c r="M1440" s="66"/>
      <c r="N1440" s="66"/>
      <c r="O1440" s="66"/>
      <c r="P1440" s="66"/>
      <c r="Q1440" s="66"/>
      <c r="R1440" s="66"/>
      <c r="S1440" s="66"/>
      <c r="T1440" s="67"/>
      <c r="U1440" s="151"/>
      <c r="V1440" s="1"/>
      <c r="W1440" s="68">
        <f t="shared" ref="W1440:W1475" si="358">CT1440</f>
        <v>0</v>
      </c>
      <c r="X1440" s="68">
        <f t="shared" ref="X1440:X1475" si="359">CX1440</f>
        <v>0</v>
      </c>
      <c r="Y1440" s="68">
        <f t="shared" ref="Y1440:Y1475" si="360">CZ1440+DB1440</f>
        <v>0</v>
      </c>
      <c r="Z1440" s="68">
        <f t="shared" ref="Z1440:Z1475" si="361">CV1440</f>
        <v>0</v>
      </c>
      <c r="AA1440" s="68"/>
      <c r="AB1440" s="68">
        <v>0</v>
      </c>
      <c r="AC1440" s="69">
        <f t="shared" ref="AC1440:AC1471" si="362">W1440+X1440+Y1440+Z1440+AA1440+AB1440</f>
        <v>0</v>
      </c>
      <c r="AD1440" s="70">
        <v>0</v>
      </c>
      <c r="AE1440" s="63">
        <v>40326</v>
      </c>
      <c r="AF1440" s="72"/>
      <c r="AG1440" s="63" t="s">
        <v>938</v>
      </c>
      <c r="AH1440" s="23" t="s">
        <v>939</v>
      </c>
      <c r="AI1440" s="60"/>
      <c r="AJ1440" s="133" t="s">
        <v>1608</v>
      </c>
      <c r="AK1440" s="73" t="s">
        <v>1725</v>
      </c>
      <c r="AL1440" s="3"/>
      <c r="AM1440" s="4"/>
      <c r="AN1440" s="5"/>
      <c r="AO1440" s="4"/>
      <c r="AP1440" s="4"/>
      <c r="AQ1440" s="4"/>
      <c r="AR1440" s="4"/>
      <c r="AS1440" s="4"/>
      <c r="AT1440" s="4"/>
      <c r="AU1440" s="4"/>
      <c r="AV1440" s="4"/>
      <c r="AW1440" s="4"/>
      <c r="AX1440" s="4"/>
      <c r="AY1440" s="4"/>
      <c r="AZ1440" s="4"/>
      <c r="BA1440" s="4"/>
      <c r="BB1440" s="4"/>
      <c r="BC1440" s="4"/>
      <c r="BD1440" s="4"/>
      <c r="BE1440" s="4"/>
      <c r="BF1440" s="4"/>
      <c r="BG1440" s="4"/>
      <c r="BH1440" s="4"/>
      <c r="BI1440" s="4"/>
      <c r="BJ1440" s="4"/>
      <c r="BK1440" s="4"/>
      <c r="BL1440" s="4"/>
      <c r="BM1440" s="4"/>
      <c r="BN1440" s="4"/>
      <c r="BO1440" s="4"/>
      <c r="BP1440" s="4"/>
      <c r="BQ1440" s="4"/>
      <c r="BR1440" s="4"/>
      <c r="BS1440" s="4"/>
      <c r="BT1440" s="4"/>
      <c r="BU1440" s="4"/>
      <c r="BV1440" s="4"/>
      <c r="BW1440" s="4"/>
      <c r="BX1440" s="4"/>
      <c r="BY1440" s="4"/>
      <c r="BZ1440" s="4"/>
      <c r="CA1440" s="4"/>
      <c r="CB1440" s="4"/>
      <c r="CC1440" s="4"/>
      <c r="CD1440" s="4"/>
      <c r="CE1440" s="4"/>
      <c r="CF1440" s="4"/>
      <c r="CG1440" s="4"/>
      <c r="CH1440" s="4"/>
      <c r="CI1440" s="4"/>
      <c r="CJ1440" s="4"/>
      <c r="CK1440" s="4"/>
      <c r="CL1440" s="4"/>
      <c r="CM1440" s="4"/>
      <c r="CN1440" s="6"/>
      <c r="CO1440" s="7"/>
      <c r="CP1440" s="6"/>
      <c r="CQ1440" s="7"/>
      <c r="CR1440" s="6"/>
      <c r="CS1440" s="7"/>
      <c r="CT1440" s="8">
        <f t="shared" ref="CT1440:CT1471" si="363">AM1440+AO1440+AQ1440+AS1440+AU1440+AW1440+AY1440+BA1440+BC1440+BE1440+BG1440+BI1440+BK1440+BM1440+BO1440+BQ1440+BS1440+BU1440+BW1440+BY1440+CA1440+CC1440+CE1440+CG1440+CI1440+CK1440+CM1440+CO1440+CQ1440+CS1440</f>
        <v>0</v>
      </c>
      <c r="CU1440" s="9"/>
      <c r="CV1440" s="10"/>
      <c r="CW1440" s="11"/>
      <c r="CX1440" s="12"/>
      <c r="CY1440" s="26"/>
      <c r="CZ1440" s="12"/>
      <c r="DA1440" s="9"/>
      <c r="DB1440" s="10"/>
      <c r="DC1440" s="64"/>
      <c r="DD1440" s="22"/>
    </row>
    <row r="1441" spans="1:108" s="119" customFormat="1" ht="24" outlineLevel="2">
      <c r="A1441" s="178">
        <v>40335</v>
      </c>
      <c r="B1441" s="82" t="s">
        <v>905</v>
      </c>
      <c r="C1441" s="82" t="s">
        <v>1288</v>
      </c>
      <c r="D1441" s="165" t="s">
        <v>1200</v>
      </c>
      <c r="E1441" s="167">
        <v>5</v>
      </c>
      <c r="F1441" s="66"/>
      <c r="G1441" s="66"/>
      <c r="H1441" s="66"/>
      <c r="I1441" s="66"/>
      <c r="J1441" s="66"/>
      <c r="K1441" s="66"/>
      <c r="L1441" s="66"/>
      <c r="M1441" s="66"/>
      <c r="N1441" s="66"/>
      <c r="O1441" s="66"/>
      <c r="P1441" s="66"/>
      <c r="Q1441" s="66"/>
      <c r="R1441" s="66"/>
      <c r="S1441" s="66"/>
      <c r="T1441" s="67"/>
      <c r="U1441" s="151"/>
      <c r="V1441" s="1"/>
      <c r="W1441" s="68">
        <f t="shared" si="358"/>
        <v>0</v>
      </c>
      <c r="X1441" s="68">
        <f t="shared" si="359"/>
        <v>0</v>
      </c>
      <c r="Y1441" s="68">
        <f t="shared" si="360"/>
        <v>0</v>
      </c>
      <c r="Z1441" s="68">
        <f t="shared" si="361"/>
        <v>0</v>
      </c>
      <c r="AA1441" s="68"/>
      <c r="AB1441" s="68">
        <v>0</v>
      </c>
      <c r="AC1441" s="69">
        <f t="shared" si="362"/>
        <v>0</v>
      </c>
      <c r="AD1441" s="70">
        <v>0</v>
      </c>
      <c r="AE1441" s="63">
        <v>40337</v>
      </c>
      <c r="AF1441" s="72"/>
      <c r="AG1441" s="63" t="s">
        <v>938</v>
      </c>
      <c r="AH1441" s="23" t="s">
        <v>939</v>
      </c>
      <c r="AI1441" s="60"/>
      <c r="AJ1441" s="133" t="s">
        <v>1608</v>
      </c>
      <c r="AK1441" s="73" t="s">
        <v>966</v>
      </c>
      <c r="AL1441" s="3"/>
      <c r="AM1441" s="4"/>
      <c r="AN1441" s="5"/>
      <c r="AO1441" s="4"/>
      <c r="AP1441" s="4"/>
      <c r="AQ1441" s="4"/>
      <c r="AR1441" s="4"/>
      <c r="AS1441" s="4"/>
      <c r="AT1441" s="4"/>
      <c r="AU1441" s="4"/>
      <c r="AV1441" s="4"/>
      <c r="AW1441" s="4"/>
      <c r="AX1441" s="4"/>
      <c r="AY1441" s="4"/>
      <c r="AZ1441" s="4"/>
      <c r="BA1441" s="4"/>
      <c r="BB1441" s="4"/>
      <c r="BC1441" s="4"/>
      <c r="BD1441" s="4"/>
      <c r="BE1441" s="4"/>
      <c r="BF1441" s="4"/>
      <c r="BG1441" s="4"/>
      <c r="BH1441" s="4"/>
      <c r="BI1441" s="4"/>
      <c r="BJ1441" s="4"/>
      <c r="BK1441" s="4"/>
      <c r="BL1441" s="4"/>
      <c r="BM1441" s="4"/>
      <c r="BN1441" s="4"/>
      <c r="BO1441" s="4"/>
      <c r="BP1441" s="4"/>
      <c r="BQ1441" s="4"/>
      <c r="BR1441" s="4"/>
      <c r="BS1441" s="4"/>
      <c r="BT1441" s="4"/>
      <c r="BU1441" s="4"/>
      <c r="BV1441" s="4"/>
      <c r="BW1441" s="4"/>
      <c r="BX1441" s="4"/>
      <c r="BY1441" s="4"/>
      <c r="BZ1441" s="4"/>
      <c r="CA1441" s="4"/>
      <c r="CB1441" s="4"/>
      <c r="CC1441" s="4"/>
      <c r="CD1441" s="4"/>
      <c r="CE1441" s="4"/>
      <c r="CF1441" s="4"/>
      <c r="CG1441" s="4"/>
      <c r="CH1441" s="4"/>
      <c r="CI1441" s="4"/>
      <c r="CJ1441" s="4"/>
      <c r="CK1441" s="4"/>
      <c r="CL1441" s="4"/>
      <c r="CM1441" s="4"/>
      <c r="CN1441" s="6"/>
      <c r="CO1441" s="7"/>
      <c r="CP1441" s="6"/>
      <c r="CQ1441" s="7"/>
      <c r="CR1441" s="6"/>
      <c r="CS1441" s="7"/>
      <c r="CT1441" s="8">
        <f t="shared" si="363"/>
        <v>0</v>
      </c>
      <c r="CU1441" s="9"/>
      <c r="CV1441" s="10"/>
      <c r="CW1441" s="11"/>
      <c r="CX1441" s="12"/>
      <c r="CY1441" s="26"/>
      <c r="CZ1441" s="12"/>
      <c r="DA1441" s="9"/>
      <c r="DB1441" s="10"/>
      <c r="DC1441" s="64"/>
      <c r="DD1441" s="22"/>
    </row>
    <row r="1442" spans="1:108" s="119" customFormat="1" outlineLevel="2">
      <c r="A1442" s="178">
        <v>40344</v>
      </c>
      <c r="B1442" s="82" t="s">
        <v>905</v>
      </c>
      <c r="C1442" s="82" t="s">
        <v>1891</v>
      </c>
      <c r="D1442" s="165" t="s">
        <v>1182</v>
      </c>
      <c r="E1442" s="167"/>
      <c r="F1442" s="66"/>
      <c r="G1442" s="66"/>
      <c r="H1442" s="66">
        <v>5</v>
      </c>
      <c r="I1442" s="66">
        <v>1</v>
      </c>
      <c r="J1442" s="66">
        <v>1</v>
      </c>
      <c r="K1442" s="66"/>
      <c r="L1442" s="66"/>
      <c r="M1442" s="66"/>
      <c r="N1442" s="66"/>
      <c r="O1442" s="66"/>
      <c r="P1442" s="66"/>
      <c r="Q1442" s="66"/>
      <c r="R1442" s="66"/>
      <c r="S1442" s="66"/>
      <c r="T1442" s="67"/>
      <c r="U1442" s="151"/>
      <c r="V1442" s="1"/>
      <c r="W1442" s="68">
        <f t="shared" si="358"/>
        <v>0</v>
      </c>
      <c r="X1442" s="68">
        <f t="shared" si="359"/>
        <v>0</v>
      </c>
      <c r="Y1442" s="68">
        <f t="shared" si="360"/>
        <v>0</v>
      </c>
      <c r="Z1442" s="68">
        <f t="shared" si="361"/>
        <v>0</v>
      </c>
      <c r="AA1442" s="68"/>
      <c r="AB1442" s="68">
        <v>0</v>
      </c>
      <c r="AC1442" s="69">
        <f t="shared" si="362"/>
        <v>0</v>
      </c>
      <c r="AD1442" s="70">
        <v>0</v>
      </c>
      <c r="AE1442" s="63">
        <v>40345</v>
      </c>
      <c r="AF1442" s="72"/>
      <c r="AG1442" s="63" t="s">
        <v>938</v>
      </c>
      <c r="AH1442" s="23" t="s">
        <v>939</v>
      </c>
      <c r="AI1442" s="60"/>
      <c r="AJ1442" s="133" t="s">
        <v>1608</v>
      </c>
      <c r="AK1442" s="73" t="s">
        <v>1899</v>
      </c>
      <c r="AL1442" s="3"/>
      <c r="AM1442" s="4"/>
      <c r="AN1442" s="5"/>
      <c r="AO1442" s="4"/>
      <c r="AP1442" s="4"/>
      <c r="AQ1442" s="4"/>
      <c r="AR1442" s="4"/>
      <c r="AS1442" s="4"/>
      <c r="AT1442" s="4"/>
      <c r="AU1442" s="4"/>
      <c r="AV1442" s="4"/>
      <c r="AW1442" s="4"/>
      <c r="AX1442" s="4"/>
      <c r="AY1442" s="4"/>
      <c r="AZ1442" s="4"/>
      <c r="BA1442" s="4"/>
      <c r="BB1442" s="4"/>
      <c r="BC1442" s="4"/>
      <c r="BD1442" s="4"/>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c r="CA1442" s="4"/>
      <c r="CB1442" s="4"/>
      <c r="CC1442" s="4"/>
      <c r="CD1442" s="4"/>
      <c r="CE1442" s="4"/>
      <c r="CF1442" s="4"/>
      <c r="CG1442" s="4"/>
      <c r="CH1442" s="4"/>
      <c r="CI1442" s="4"/>
      <c r="CJ1442" s="4"/>
      <c r="CK1442" s="4"/>
      <c r="CL1442" s="4"/>
      <c r="CM1442" s="4"/>
      <c r="CN1442" s="6"/>
      <c r="CO1442" s="7"/>
      <c r="CP1442" s="6"/>
      <c r="CQ1442" s="7"/>
      <c r="CR1442" s="6"/>
      <c r="CS1442" s="7"/>
      <c r="CT1442" s="8">
        <f t="shared" si="363"/>
        <v>0</v>
      </c>
      <c r="CU1442" s="9"/>
      <c r="CV1442" s="10"/>
      <c r="CW1442" s="11"/>
      <c r="CX1442" s="12"/>
      <c r="CY1442" s="26"/>
      <c r="CZ1442" s="12"/>
      <c r="DA1442" s="9"/>
      <c r="DB1442" s="10"/>
      <c r="DC1442" s="64"/>
      <c r="DD1442" s="22"/>
    </row>
    <row r="1443" spans="1:108" s="119" customFormat="1" ht="24" outlineLevel="2">
      <c r="A1443" s="178">
        <v>40348</v>
      </c>
      <c r="B1443" s="82" t="s">
        <v>905</v>
      </c>
      <c r="C1443" s="82" t="s">
        <v>906</v>
      </c>
      <c r="D1443" s="165" t="s">
        <v>1262</v>
      </c>
      <c r="E1443" s="167"/>
      <c r="F1443" s="66"/>
      <c r="G1443" s="66"/>
      <c r="H1443" s="66">
        <v>5</v>
      </c>
      <c r="I1443" s="66">
        <v>1</v>
      </c>
      <c r="J1443" s="66"/>
      <c r="K1443" s="66">
        <v>1</v>
      </c>
      <c r="L1443" s="66"/>
      <c r="M1443" s="66"/>
      <c r="N1443" s="66"/>
      <c r="O1443" s="66"/>
      <c r="P1443" s="66"/>
      <c r="Q1443" s="66"/>
      <c r="R1443" s="66"/>
      <c r="S1443" s="66"/>
      <c r="T1443" s="67"/>
      <c r="U1443" s="151"/>
      <c r="V1443" s="1"/>
      <c r="W1443" s="68">
        <f t="shared" si="358"/>
        <v>0</v>
      </c>
      <c r="X1443" s="68">
        <f t="shared" si="359"/>
        <v>0</v>
      </c>
      <c r="Y1443" s="68">
        <f t="shared" si="360"/>
        <v>0</v>
      </c>
      <c r="Z1443" s="68">
        <f t="shared" si="361"/>
        <v>0</v>
      </c>
      <c r="AA1443" s="68"/>
      <c r="AB1443" s="68">
        <v>0</v>
      </c>
      <c r="AC1443" s="69">
        <f t="shared" si="362"/>
        <v>0</v>
      </c>
      <c r="AD1443" s="70">
        <v>0</v>
      </c>
      <c r="AE1443" s="63">
        <v>40350</v>
      </c>
      <c r="AF1443" s="72"/>
      <c r="AG1443" s="63" t="s">
        <v>938</v>
      </c>
      <c r="AH1443" s="23" t="s">
        <v>939</v>
      </c>
      <c r="AI1443" s="60"/>
      <c r="AJ1443" s="133" t="s">
        <v>1608</v>
      </c>
      <c r="AK1443" s="73" t="s">
        <v>1394</v>
      </c>
      <c r="AL1443" s="3"/>
      <c r="AM1443" s="4"/>
      <c r="AN1443" s="5"/>
      <c r="AO1443" s="4"/>
      <c r="AP1443" s="4"/>
      <c r="AQ1443" s="4"/>
      <c r="AR1443" s="4"/>
      <c r="AS1443" s="4"/>
      <c r="AT1443" s="4"/>
      <c r="AU1443" s="4"/>
      <c r="AV1443" s="4"/>
      <c r="AW1443" s="4"/>
      <c r="AX1443" s="4"/>
      <c r="AY1443" s="4"/>
      <c r="AZ1443" s="4"/>
      <c r="BA1443" s="4"/>
      <c r="BB1443" s="4"/>
      <c r="BC1443" s="4"/>
      <c r="BD1443" s="4"/>
      <c r="BE1443" s="4"/>
      <c r="BF1443" s="4"/>
      <c r="BG1443" s="4"/>
      <c r="BH1443" s="4"/>
      <c r="BI1443" s="4"/>
      <c r="BJ1443" s="4"/>
      <c r="BK1443" s="4"/>
      <c r="BL1443" s="4"/>
      <c r="BM1443" s="4"/>
      <c r="BN1443" s="4"/>
      <c r="BO1443" s="4"/>
      <c r="BP1443" s="4"/>
      <c r="BQ1443" s="4"/>
      <c r="BR1443" s="4"/>
      <c r="BS1443" s="4"/>
      <c r="BT1443" s="4"/>
      <c r="BU1443" s="4"/>
      <c r="BV1443" s="4"/>
      <c r="BW1443" s="4"/>
      <c r="BX1443" s="4"/>
      <c r="BY1443" s="4"/>
      <c r="BZ1443" s="4"/>
      <c r="CA1443" s="4"/>
      <c r="CB1443" s="4"/>
      <c r="CC1443" s="4"/>
      <c r="CD1443" s="4"/>
      <c r="CE1443" s="4"/>
      <c r="CF1443" s="4"/>
      <c r="CG1443" s="4"/>
      <c r="CH1443" s="4"/>
      <c r="CI1443" s="4"/>
      <c r="CJ1443" s="4"/>
      <c r="CK1443" s="4"/>
      <c r="CL1443" s="4"/>
      <c r="CM1443" s="4"/>
      <c r="CN1443" s="6"/>
      <c r="CO1443" s="7"/>
      <c r="CP1443" s="6"/>
      <c r="CQ1443" s="7"/>
      <c r="CR1443" s="6"/>
      <c r="CS1443" s="7"/>
      <c r="CT1443" s="8">
        <f t="shared" si="363"/>
        <v>0</v>
      </c>
      <c r="CU1443" s="9"/>
      <c r="CV1443" s="10"/>
      <c r="CW1443" s="11"/>
      <c r="CX1443" s="12"/>
      <c r="CY1443" s="26"/>
      <c r="CZ1443" s="12"/>
      <c r="DA1443" s="9"/>
      <c r="DB1443" s="10"/>
      <c r="DC1443" s="64"/>
      <c r="DD1443" s="22"/>
    </row>
    <row r="1444" spans="1:108" s="119" customFormat="1" ht="72" outlineLevel="2">
      <c r="A1444" s="178">
        <v>40353</v>
      </c>
      <c r="B1444" s="82" t="s">
        <v>905</v>
      </c>
      <c r="C1444" s="82" t="s">
        <v>2372</v>
      </c>
      <c r="D1444" s="165" t="s">
        <v>1262</v>
      </c>
      <c r="E1444" s="167"/>
      <c r="F1444" s="66"/>
      <c r="G1444" s="66"/>
      <c r="H1444" s="66"/>
      <c r="I1444" s="66"/>
      <c r="J1444" s="66"/>
      <c r="K1444" s="66"/>
      <c r="L1444" s="66"/>
      <c r="M1444" s="66"/>
      <c r="N1444" s="66"/>
      <c r="O1444" s="66"/>
      <c r="P1444" s="66"/>
      <c r="Q1444" s="66"/>
      <c r="R1444" s="66"/>
      <c r="S1444" s="66"/>
      <c r="T1444" s="67"/>
      <c r="U1444" s="151"/>
      <c r="V1444" s="1"/>
      <c r="W1444" s="68">
        <f t="shared" si="358"/>
        <v>0</v>
      </c>
      <c r="X1444" s="68">
        <f t="shared" si="359"/>
        <v>0</v>
      </c>
      <c r="Y1444" s="68">
        <f t="shared" si="360"/>
        <v>0</v>
      </c>
      <c r="Z1444" s="68">
        <f t="shared" si="361"/>
        <v>0</v>
      </c>
      <c r="AA1444" s="68"/>
      <c r="AB1444" s="68">
        <v>0</v>
      </c>
      <c r="AC1444" s="69">
        <f t="shared" si="362"/>
        <v>0</v>
      </c>
      <c r="AD1444" s="70">
        <v>0</v>
      </c>
      <c r="AE1444" s="63">
        <v>40357</v>
      </c>
      <c r="AF1444" s="72"/>
      <c r="AG1444" s="63" t="s">
        <v>938</v>
      </c>
      <c r="AH1444" s="23" t="s">
        <v>939</v>
      </c>
      <c r="AI1444" s="60"/>
      <c r="AJ1444" s="133" t="s">
        <v>1608</v>
      </c>
      <c r="AK1444" s="73" t="s">
        <v>1969</v>
      </c>
      <c r="AL1444" s="3"/>
      <c r="AM1444" s="4"/>
      <c r="AN1444" s="5"/>
      <c r="AO1444" s="4"/>
      <c r="AP1444" s="4"/>
      <c r="AQ1444" s="4"/>
      <c r="AR1444" s="4"/>
      <c r="AS1444" s="4"/>
      <c r="AT1444" s="4"/>
      <c r="AU1444" s="4"/>
      <c r="AV1444" s="4"/>
      <c r="AW1444" s="4"/>
      <c r="AX1444" s="4"/>
      <c r="AY1444" s="4"/>
      <c r="AZ1444" s="4"/>
      <c r="BA1444" s="4"/>
      <c r="BB1444" s="4"/>
      <c r="BC1444" s="4"/>
      <c r="BD1444" s="4"/>
      <c r="BE1444" s="4"/>
      <c r="BF1444" s="4"/>
      <c r="BG1444" s="4"/>
      <c r="BH1444" s="4"/>
      <c r="BI1444" s="4"/>
      <c r="BJ1444" s="4"/>
      <c r="BK1444" s="4"/>
      <c r="BL1444" s="4"/>
      <c r="BM1444" s="4"/>
      <c r="BN1444" s="4"/>
      <c r="BO1444" s="4"/>
      <c r="BP1444" s="4"/>
      <c r="BQ1444" s="4"/>
      <c r="BR1444" s="4"/>
      <c r="BS1444" s="4"/>
      <c r="BT1444" s="4"/>
      <c r="BU1444" s="4"/>
      <c r="BV1444" s="4"/>
      <c r="BW1444" s="4"/>
      <c r="BX1444" s="4"/>
      <c r="BY1444" s="4"/>
      <c r="BZ1444" s="4"/>
      <c r="CA1444" s="4"/>
      <c r="CB1444" s="4"/>
      <c r="CC1444" s="4"/>
      <c r="CD1444" s="4"/>
      <c r="CE1444" s="4"/>
      <c r="CF1444" s="4"/>
      <c r="CG1444" s="4"/>
      <c r="CH1444" s="4"/>
      <c r="CI1444" s="4"/>
      <c r="CJ1444" s="4"/>
      <c r="CK1444" s="4"/>
      <c r="CL1444" s="4"/>
      <c r="CM1444" s="4"/>
      <c r="CN1444" s="6"/>
      <c r="CO1444" s="7"/>
      <c r="CP1444" s="6"/>
      <c r="CQ1444" s="7"/>
      <c r="CR1444" s="6"/>
      <c r="CS1444" s="7"/>
      <c r="CT1444" s="8">
        <f t="shared" si="363"/>
        <v>0</v>
      </c>
      <c r="CU1444" s="9"/>
      <c r="CV1444" s="10"/>
      <c r="CW1444" s="11"/>
      <c r="CX1444" s="12"/>
      <c r="CY1444" s="26"/>
      <c r="CZ1444" s="12"/>
      <c r="DA1444" s="9"/>
      <c r="DB1444" s="10"/>
      <c r="DC1444" s="64"/>
      <c r="DD1444" s="22"/>
    </row>
    <row r="1445" spans="1:108" s="119" customFormat="1" ht="24" outlineLevel="2">
      <c r="A1445" s="178">
        <v>40367</v>
      </c>
      <c r="B1445" s="82" t="s">
        <v>905</v>
      </c>
      <c r="C1445" s="82" t="s">
        <v>906</v>
      </c>
      <c r="D1445" s="165" t="s">
        <v>1262</v>
      </c>
      <c r="E1445" s="167"/>
      <c r="F1445" s="66"/>
      <c r="G1445" s="66"/>
      <c r="H1445" s="66">
        <v>95</v>
      </c>
      <c r="I1445" s="66">
        <v>18</v>
      </c>
      <c r="J1445" s="66"/>
      <c r="K1445" s="66">
        <v>18</v>
      </c>
      <c r="L1445" s="66"/>
      <c r="M1445" s="66"/>
      <c r="N1445" s="66"/>
      <c r="O1445" s="66"/>
      <c r="P1445" s="66"/>
      <c r="Q1445" s="66"/>
      <c r="R1445" s="66"/>
      <c r="S1445" s="66"/>
      <c r="T1445" s="67"/>
      <c r="U1445" s="151"/>
      <c r="V1445" s="1"/>
      <c r="W1445" s="68">
        <f t="shared" si="358"/>
        <v>0</v>
      </c>
      <c r="X1445" s="68">
        <f t="shared" si="359"/>
        <v>0</v>
      </c>
      <c r="Y1445" s="68">
        <f t="shared" si="360"/>
        <v>0</v>
      </c>
      <c r="Z1445" s="68">
        <f t="shared" si="361"/>
        <v>0</v>
      </c>
      <c r="AA1445" s="68"/>
      <c r="AB1445" s="68">
        <v>0</v>
      </c>
      <c r="AC1445" s="69">
        <f t="shared" si="362"/>
        <v>0</v>
      </c>
      <c r="AD1445" s="70">
        <v>0</v>
      </c>
      <c r="AE1445" s="63">
        <v>40367</v>
      </c>
      <c r="AF1445" s="72"/>
      <c r="AG1445" s="63" t="s">
        <v>938</v>
      </c>
      <c r="AH1445" s="23" t="s">
        <v>939</v>
      </c>
      <c r="AI1445" s="60"/>
      <c r="AJ1445" s="133" t="s">
        <v>1608</v>
      </c>
      <c r="AK1445" s="73" t="s">
        <v>1759</v>
      </c>
      <c r="AL1445" s="3"/>
      <c r="AM1445" s="4"/>
      <c r="AN1445" s="5"/>
      <c r="AO1445" s="4"/>
      <c r="AP1445" s="4"/>
      <c r="AQ1445" s="4"/>
      <c r="AR1445" s="4"/>
      <c r="AS1445" s="4"/>
      <c r="AT1445" s="4"/>
      <c r="AU1445" s="4"/>
      <c r="AV1445" s="4"/>
      <c r="AW1445" s="4"/>
      <c r="AX1445" s="4"/>
      <c r="AY1445" s="4"/>
      <c r="AZ1445" s="4"/>
      <c r="BA1445" s="4"/>
      <c r="BB1445" s="4"/>
      <c r="BC1445" s="4"/>
      <c r="BD1445" s="4"/>
      <c r="BE1445" s="4"/>
      <c r="BF1445" s="4"/>
      <c r="BG1445" s="4"/>
      <c r="BH1445" s="4"/>
      <c r="BI1445" s="4"/>
      <c r="BJ1445" s="4"/>
      <c r="BK1445" s="4"/>
      <c r="BL1445" s="4"/>
      <c r="BM1445" s="4"/>
      <c r="BN1445" s="4"/>
      <c r="BO1445" s="4"/>
      <c r="BP1445" s="4"/>
      <c r="BQ1445" s="4"/>
      <c r="BR1445" s="4"/>
      <c r="BS1445" s="4"/>
      <c r="BT1445" s="4"/>
      <c r="BU1445" s="4"/>
      <c r="BV1445" s="4"/>
      <c r="BW1445" s="4"/>
      <c r="BX1445" s="4"/>
      <c r="BY1445" s="4"/>
      <c r="BZ1445" s="4"/>
      <c r="CA1445" s="4"/>
      <c r="CB1445" s="4"/>
      <c r="CC1445" s="4"/>
      <c r="CD1445" s="4"/>
      <c r="CE1445" s="4"/>
      <c r="CF1445" s="4"/>
      <c r="CG1445" s="4"/>
      <c r="CH1445" s="4"/>
      <c r="CI1445" s="4"/>
      <c r="CJ1445" s="4"/>
      <c r="CK1445" s="4"/>
      <c r="CL1445" s="4"/>
      <c r="CM1445" s="4"/>
      <c r="CN1445" s="6"/>
      <c r="CO1445" s="7"/>
      <c r="CP1445" s="6"/>
      <c r="CQ1445" s="7"/>
      <c r="CR1445" s="6"/>
      <c r="CS1445" s="7"/>
      <c r="CT1445" s="8">
        <f t="shared" si="363"/>
        <v>0</v>
      </c>
      <c r="CU1445" s="9"/>
      <c r="CV1445" s="10"/>
      <c r="CW1445" s="11"/>
      <c r="CX1445" s="12"/>
      <c r="CY1445" s="26"/>
      <c r="CZ1445" s="12"/>
      <c r="DA1445" s="9"/>
      <c r="DB1445" s="10"/>
      <c r="DC1445" s="64"/>
      <c r="DD1445" s="22"/>
    </row>
    <row r="1446" spans="1:108" s="119" customFormat="1" outlineLevel="2">
      <c r="A1446" s="178">
        <v>40367</v>
      </c>
      <c r="B1446" s="82" t="s">
        <v>905</v>
      </c>
      <c r="C1446" s="82" t="s">
        <v>906</v>
      </c>
      <c r="D1446" s="165" t="s">
        <v>1182</v>
      </c>
      <c r="E1446" s="167"/>
      <c r="F1446" s="66"/>
      <c r="G1446" s="66"/>
      <c r="H1446" s="66">
        <v>5</v>
      </c>
      <c r="I1446" s="66">
        <v>1</v>
      </c>
      <c r="J1446" s="66"/>
      <c r="K1446" s="66">
        <v>1</v>
      </c>
      <c r="L1446" s="66">
        <v>1</v>
      </c>
      <c r="M1446" s="66"/>
      <c r="N1446" s="66"/>
      <c r="O1446" s="66"/>
      <c r="P1446" s="66"/>
      <c r="Q1446" s="66"/>
      <c r="R1446" s="66"/>
      <c r="S1446" s="66"/>
      <c r="T1446" s="67"/>
      <c r="U1446" s="151"/>
      <c r="V1446" s="1"/>
      <c r="W1446" s="68">
        <f t="shared" si="358"/>
        <v>0</v>
      </c>
      <c r="X1446" s="68">
        <f t="shared" si="359"/>
        <v>0</v>
      </c>
      <c r="Y1446" s="68">
        <f t="shared" si="360"/>
        <v>0</v>
      </c>
      <c r="Z1446" s="68">
        <f t="shared" si="361"/>
        <v>0</v>
      </c>
      <c r="AA1446" s="68"/>
      <c r="AB1446" s="68">
        <v>0</v>
      </c>
      <c r="AC1446" s="69">
        <f t="shared" si="362"/>
        <v>0</v>
      </c>
      <c r="AD1446" s="70">
        <v>0</v>
      </c>
      <c r="AE1446" s="63">
        <v>40371</v>
      </c>
      <c r="AF1446" s="72"/>
      <c r="AG1446" s="63" t="s">
        <v>938</v>
      </c>
      <c r="AH1446" s="23" t="s">
        <v>939</v>
      </c>
      <c r="AI1446" s="60"/>
      <c r="AJ1446" s="133" t="s">
        <v>1608</v>
      </c>
      <c r="AK1446" s="73" t="s">
        <v>1076</v>
      </c>
      <c r="AL1446" s="3"/>
      <c r="AM1446" s="4"/>
      <c r="AN1446" s="5"/>
      <c r="AO1446" s="4"/>
      <c r="AP1446" s="4"/>
      <c r="AQ1446" s="4"/>
      <c r="AR1446" s="4"/>
      <c r="AS1446" s="4"/>
      <c r="AT1446" s="4"/>
      <c r="AU1446" s="4"/>
      <c r="AV1446" s="4"/>
      <c r="AW1446" s="4"/>
      <c r="AX1446" s="4"/>
      <c r="AY1446" s="4"/>
      <c r="AZ1446" s="4"/>
      <c r="BA1446" s="4"/>
      <c r="BB1446" s="4"/>
      <c r="BC1446" s="4"/>
      <c r="BD1446" s="4"/>
      <c r="BE1446" s="4"/>
      <c r="BF1446" s="4"/>
      <c r="BG1446" s="4"/>
      <c r="BH1446" s="4"/>
      <c r="BI1446" s="4"/>
      <c r="BJ1446" s="4"/>
      <c r="BK1446" s="4"/>
      <c r="BL1446" s="4"/>
      <c r="BM1446" s="4"/>
      <c r="BN1446" s="4"/>
      <c r="BO1446" s="4"/>
      <c r="BP1446" s="4"/>
      <c r="BQ1446" s="4"/>
      <c r="BR1446" s="4"/>
      <c r="BS1446" s="4"/>
      <c r="BT1446" s="4"/>
      <c r="BU1446" s="4"/>
      <c r="BV1446" s="4"/>
      <c r="BW1446" s="4"/>
      <c r="BX1446" s="4"/>
      <c r="BY1446" s="4"/>
      <c r="BZ1446" s="4"/>
      <c r="CA1446" s="4"/>
      <c r="CB1446" s="4"/>
      <c r="CC1446" s="4"/>
      <c r="CD1446" s="4"/>
      <c r="CE1446" s="4"/>
      <c r="CF1446" s="4"/>
      <c r="CG1446" s="4"/>
      <c r="CH1446" s="4"/>
      <c r="CI1446" s="4"/>
      <c r="CJ1446" s="4"/>
      <c r="CK1446" s="4"/>
      <c r="CL1446" s="4"/>
      <c r="CM1446" s="4"/>
      <c r="CN1446" s="6"/>
      <c r="CO1446" s="7"/>
      <c r="CP1446" s="6"/>
      <c r="CQ1446" s="7"/>
      <c r="CR1446" s="6"/>
      <c r="CS1446" s="7"/>
      <c r="CT1446" s="8">
        <f t="shared" si="363"/>
        <v>0</v>
      </c>
      <c r="CU1446" s="9"/>
      <c r="CV1446" s="10"/>
      <c r="CW1446" s="11"/>
      <c r="CX1446" s="12"/>
      <c r="CY1446" s="26"/>
      <c r="CZ1446" s="12"/>
      <c r="DA1446" s="9"/>
      <c r="DB1446" s="10"/>
      <c r="DC1446" s="64"/>
      <c r="DD1446" s="22"/>
    </row>
    <row r="1447" spans="1:108" s="119" customFormat="1" ht="48" outlineLevel="2">
      <c r="A1447" s="178">
        <v>40369</v>
      </c>
      <c r="B1447" s="82" t="s">
        <v>905</v>
      </c>
      <c r="C1447" s="82" t="s">
        <v>906</v>
      </c>
      <c r="D1447" s="165" t="s">
        <v>1182</v>
      </c>
      <c r="E1447" s="167"/>
      <c r="F1447" s="66"/>
      <c r="G1447" s="66"/>
      <c r="H1447" s="66">
        <v>7</v>
      </c>
      <c r="I1447" s="66">
        <v>1</v>
      </c>
      <c r="J1447" s="66"/>
      <c r="K1447" s="66">
        <v>1</v>
      </c>
      <c r="L1447" s="66">
        <v>1</v>
      </c>
      <c r="M1447" s="66"/>
      <c r="N1447" s="66"/>
      <c r="O1447" s="66"/>
      <c r="P1447" s="66"/>
      <c r="Q1447" s="66"/>
      <c r="R1447" s="66"/>
      <c r="S1447" s="66"/>
      <c r="T1447" s="67"/>
      <c r="U1447" s="151"/>
      <c r="V1447" s="1"/>
      <c r="W1447" s="68">
        <f t="shared" si="358"/>
        <v>0</v>
      </c>
      <c r="X1447" s="68">
        <f t="shared" si="359"/>
        <v>0</v>
      </c>
      <c r="Y1447" s="68">
        <f t="shared" si="360"/>
        <v>0</v>
      </c>
      <c r="Z1447" s="68">
        <f t="shared" si="361"/>
        <v>0</v>
      </c>
      <c r="AA1447" s="68"/>
      <c r="AB1447" s="68">
        <v>0</v>
      </c>
      <c r="AC1447" s="69">
        <f t="shared" si="362"/>
        <v>0</v>
      </c>
      <c r="AD1447" s="70">
        <v>0</v>
      </c>
      <c r="AE1447" s="63">
        <v>40371</v>
      </c>
      <c r="AF1447" s="72"/>
      <c r="AG1447" s="63" t="s">
        <v>938</v>
      </c>
      <c r="AH1447" s="23" t="s">
        <v>939</v>
      </c>
      <c r="AI1447" s="60"/>
      <c r="AJ1447" s="133" t="s">
        <v>1608</v>
      </c>
      <c r="AK1447" s="73" t="s">
        <v>1459</v>
      </c>
      <c r="AL1447" s="3"/>
      <c r="AM1447" s="4"/>
      <c r="AN1447" s="5"/>
      <c r="AO1447" s="4"/>
      <c r="AP1447" s="4"/>
      <c r="AQ1447" s="4"/>
      <c r="AR1447" s="4"/>
      <c r="AS1447" s="4"/>
      <c r="AT1447" s="4"/>
      <c r="AU1447" s="4"/>
      <c r="AV1447" s="4"/>
      <c r="AW1447" s="4"/>
      <c r="AX1447" s="4"/>
      <c r="AY1447" s="4"/>
      <c r="AZ1447" s="4"/>
      <c r="BA1447" s="4"/>
      <c r="BB1447" s="4"/>
      <c r="BC1447" s="4"/>
      <c r="BD1447" s="4"/>
      <c r="BE1447" s="4"/>
      <c r="BF1447" s="4"/>
      <c r="BG1447" s="4"/>
      <c r="BH1447" s="4"/>
      <c r="BI1447" s="4"/>
      <c r="BJ1447" s="4"/>
      <c r="BK1447" s="4"/>
      <c r="BL1447" s="4"/>
      <c r="BM1447" s="4"/>
      <c r="BN1447" s="4"/>
      <c r="BO1447" s="4"/>
      <c r="BP1447" s="4"/>
      <c r="BQ1447" s="4"/>
      <c r="BR1447" s="4"/>
      <c r="BS1447" s="4"/>
      <c r="BT1447" s="4"/>
      <c r="BU1447" s="4"/>
      <c r="BV1447" s="4"/>
      <c r="BW1447" s="4"/>
      <c r="BX1447" s="4"/>
      <c r="BY1447" s="4"/>
      <c r="BZ1447" s="4"/>
      <c r="CA1447" s="4"/>
      <c r="CB1447" s="4"/>
      <c r="CC1447" s="4"/>
      <c r="CD1447" s="4"/>
      <c r="CE1447" s="4"/>
      <c r="CF1447" s="4"/>
      <c r="CG1447" s="4"/>
      <c r="CH1447" s="4"/>
      <c r="CI1447" s="4"/>
      <c r="CJ1447" s="4"/>
      <c r="CK1447" s="4"/>
      <c r="CL1447" s="4"/>
      <c r="CM1447" s="4"/>
      <c r="CN1447" s="6"/>
      <c r="CO1447" s="7"/>
      <c r="CP1447" s="6"/>
      <c r="CQ1447" s="7"/>
      <c r="CR1447" s="6"/>
      <c r="CS1447" s="7"/>
      <c r="CT1447" s="8">
        <f t="shared" si="363"/>
        <v>0</v>
      </c>
      <c r="CU1447" s="9"/>
      <c r="CV1447" s="10"/>
      <c r="CW1447" s="11"/>
      <c r="CX1447" s="12"/>
      <c r="CY1447" s="26"/>
      <c r="CZ1447" s="12"/>
      <c r="DA1447" s="9"/>
      <c r="DB1447" s="10"/>
      <c r="DC1447" s="64"/>
      <c r="DD1447" s="22"/>
    </row>
    <row r="1448" spans="1:108" s="119" customFormat="1" ht="24" outlineLevel="2">
      <c r="A1448" s="178">
        <v>40407</v>
      </c>
      <c r="B1448" s="82" t="s">
        <v>905</v>
      </c>
      <c r="C1448" s="82" t="s">
        <v>906</v>
      </c>
      <c r="D1448" s="165" t="s">
        <v>1182</v>
      </c>
      <c r="E1448" s="167">
        <v>1</v>
      </c>
      <c r="F1448" s="66">
        <v>1</v>
      </c>
      <c r="G1448" s="66"/>
      <c r="H1448" s="66"/>
      <c r="I1448" s="66"/>
      <c r="J1448" s="66"/>
      <c r="K1448" s="66"/>
      <c r="L1448" s="66"/>
      <c r="M1448" s="66"/>
      <c r="N1448" s="66"/>
      <c r="O1448" s="66"/>
      <c r="P1448" s="66"/>
      <c r="Q1448" s="66"/>
      <c r="R1448" s="66"/>
      <c r="S1448" s="66"/>
      <c r="T1448" s="67"/>
      <c r="U1448" s="151"/>
      <c r="V1448" s="1"/>
      <c r="W1448" s="68">
        <f t="shared" si="358"/>
        <v>0</v>
      </c>
      <c r="X1448" s="68">
        <f t="shared" si="359"/>
        <v>0</v>
      </c>
      <c r="Y1448" s="68">
        <f t="shared" si="360"/>
        <v>0</v>
      </c>
      <c r="Z1448" s="68">
        <f t="shared" si="361"/>
        <v>0</v>
      </c>
      <c r="AA1448" s="68"/>
      <c r="AB1448" s="68">
        <v>0</v>
      </c>
      <c r="AC1448" s="69">
        <f t="shared" si="362"/>
        <v>0</v>
      </c>
      <c r="AD1448" s="70">
        <v>0</v>
      </c>
      <c r="AE1448" s="63">
        <v>40408</v>
      </c>
      <c r="AF1448" s="72"/>
      <c r="AG1448" s="63" t="s">
        <v>938</v>
      </c>
      <c r="AH1448" s="23" t="s">
        <v>939</v>
      </c>
      <c r="AI1448" s="60"/>
      <c r="AJ1448" s="133" t="s">
        <v>1608</v>
      </c>
      <c r="AK1448" s="73" t="s">
        <v>1546</v>
      </c>
      <c r="AL1448" s="3"/>
      <c r="AM1448" s="4"/>
      <c r="AN1448" s="5"/>
      <c r="AO1448" s="4"/>
      <c r="AP1448" s="4"/>
      <c r="AQ1448" s="4"/>
      <c r="AR1448" s="4"/>
      <c r="AS1448" s="4"/>
      <c r="AT1448" s="4"/>
      <c r="AU1448" s="4"/>
      <c r="AV1448" s="4"/>
      <c r="AW1448" s="4"/>
      <c r="AX1448" s="4"/>
      <c r="AY1448" s="4"/>
      <c r="AZ1448" s="4"/>
      <c r="BA1448" s="4"/>
      <c r="BB1448" s="4"/>
      <c r="BC1448" s="4"/>
      <c r="BD1448" s="4"/>
      <c r="BE1448" s="4"/>
      <c r="BF1448" s="4"/>
      <c r="BG1448" s="4"/>
      <c r="BH1448" s="4"/>
      <c r="BI1448" s="4"/>
      <c r="BJ1448" s="4"/>
      <c r="BK1448" s="4"/>
      <c r="BL1448" s="4"/>
      <c r="BM1448" s="4"/>
      <c r="BN1448" s="4"/>
      <c r="BO1448" s="4"/>
      <c r="BP1448" s="4"/>
      <c r="BQ1448" s="4"/>
      <c r="BR1448" s="4"/>
      <c r="BS1448" s="4"/>
      <c r="BT1448" s="4"/>
      <c r="BU1448" s="4"/>
      <c r="BV1448" s="4"/>
      <c r="BW1448" s="4"/>
      <c r="BX1448" s="4"/>
      <c r="BY1448" s="4"/>
      <c r="BZ1448" s="4"/>
      <c r="CA1448" s="4"/>
      <c r="CB1448" s="4"/>
      <c r="CC1448" s="4"/>
      <c r="CD1448" s="4"/>
      <c r="CE1448" s="4"/>
      <c r="CF1448" s="4"/>
      <c r="CG1448" s="4"/>
      <c r="CH1448" s="4"/>
      <c r="CI1448" s="4"/>
      <c r="CJ1448" s="4"/>
      <c r="CK1448" s="4"/>
      <c r="CL1448" s="4"/>
      <c r="CM1448" s="4"/>
      <c r="CN1448" s="6"/>
      <c r="CO1448" s="7"/>
      <c r="CP1448" s="6"/>
      <c r="CQ1448" s="7"/>
      <c r="CR1448" s="6"/>
      <c r="CS1448" s="7"/>
      <c r="CT1448" s="8">
        <f t="shared" si="363"/>
        <v>0</v>
      </c>
      <c r="CU1448" s="9"/>
      <c r="CV1448" s="10"/>
      <c r="CW1448" s="11"/>
      <c r="CX1448" s="12"/>
      <c r="CY1448" s="26"/>
      <c r="CZ1448" s="12"/>
      <c r="DA1448" s="9"/>
      <c r="DB1448" s="10"/>
      <c r="DC1448" s="64"/>
      <c r="DD1448" s="22"/>
    </row>
    <row r="1449" spans="1:108" s="119" customFormat="1" ht="24" outlineLevel="2">
      <c r="A1449" s="178">
        <v>40408</v>
      </c>
      <c r="B1449" s="82" t="s">
        <v>905</v>
      </c>
      <c r="C1449" s="82" t="s">
        <v>1555</v>
      </c>
      <c r="D1449" s="165" t="s">
        <v>1182</v>
      </c>
      <c r="E1449" s="167"/>
      <c r="F1449" s="66"/>
      <c r="G1449" s="66">
        <v>1</v>
      </c>
      <c r="H1449" s="66"/>
      <c r="I1449" s="66"/>
      <c r="J1449" s="66"/>
      <c r="K1449" s="66"/>
      <c r="L1449" s="66">
        <v>1</v>
      </c>
      <c r="M1449" s="66"/>
      <c r="N1449" s="66"/>
      <c r="O1449" s="66"/>
      <c r="P1449" s="66"/>
      <c r="Q1449" s="66"/>
      <c r="R1449" s="66"/>
      <c r="S1449" s="66"/>
      <c r="T1449" s="67"/>
      <c r="U1449" s="151"/>
      <c r="V1449" s="1"/>
      <c r="W1449" s="68">
        <f t="shared" si="358"/>
        <v>0</v>
      </c>
      <c r="X1449" s="68">
        <f t="shared" si="359"/>
        <v>0</v>
      </c>
      <c r="Y1449" s="68">
        <f t="shared" si="360"/>
        <v>0</v>
      </c>
      <c r="Z1449" s="68">
        <f t="shared" si="361"/>
        <v>0</v>
      </c>
      <c r="AA1449" s="68"/>
      <c r="AB1449" s="68">
        <v>0</v>
      </c>
      <c r="AC1449" s="69">
        <f t="shared" si="362"/>
        <v>0</v>
      </c>
      <c r="AD1449" s="70">
        <v>0</v>
      </c>
      <c r="AE1449" s="63">
        <v>40413</v>
      </c>
      <c r="AF1449" s="72"/>
      <c r="AG1449" s="63" t="s">
        <v>938</v>
      </c>
      <c r="AH1449" s="23" t="s">
        <v>939</v>
      </c>
      <c r="AI1449" s="60"/>
      <c r="AJ1449" s="133" t="s">
        <v>1608</v>
      </c>
      <c r="AK1449" s="73" t="s">
        <v>1556</v>
      </c>
      <c r="AL1449" s="3"/>
      <c r="AM1449" s="4"/>
      <c r="AN1449" s="5"/>
      <c r="AO1449" s="4"/>
      <c r="AP1449" s="4"/>
      <c r="AQ1449" s="4"/>
      <c r="AR1449" s="4"/>
      <c r="AS1449" s="4"/>
      <c r="AT1449" s="4"/>
      <c r="AU1449" s="4"/>
      <c r="AV1449" s="4"/>
      <c r="AW1449" s="4"/>
      <c r="AX1449" s="4"/>
      <c r="AY1449" s="4"/>
      <c r="AZ1449" s="4"/>
      <c r="BA1449" s="4"/>
      <c r="BB1449" s="4"/>
      <c r="BC1449" s="4"/>
      <c r="BD1449" s="4"/>
      <c r="BE1449" s="4"/>
      <c r="BF1449" s="4"/>
      <c r="BG1449" s="4"/>
      <c r="BH1449" s="4"/>
      <c r="BI1449" s="4"/>
      <c r="BJ1449" s="4"/>
      <c r="BK1449" s="4"/>
      <c r="BL1449" s="4"/>
      <c r="BM1449" s="4"/>
      <c r="BN1449" s="4"/>
      <c r="BO1449" s="4"/>
      <c r="BP1449" s="4"/>
      <c r="BQ1449" s="4"/>
      <c r="BR1449" s="4"/>
      <c r="BS1449" s="4"/>
      <c r="BT1449" s="4"/>
      <c r="BU1449" s="4"/>
      <c r="BV1449" s="4"/>
      <c r="BW1449" s="4"/>
      <c r="BX1449" s="4"/>
      <c r="BY1449" s="4"/>
      <c r="BZ1449" s="4"/>
      <c r="CA1449" s="4"/>
      <c r="CB1449" s="4"/>
      <c r="CC1449" s="4"/>
      <c r="CD1449" s="4"/>
      <c r="CE1449" s="4"/>
      <c r="CF1449" s="4"/>
      <c r="CG1449" s="4"/>
      <c r="CH1449" s="4"/>
      <c r="CI1449" s="4"/>
      <c r="CJ1449" s="4"/>
      <c r="CK1449" s="4"/>
      <c r="CL1449" s="4"/>
      <c r="CM1449" s="4"/>
      <c r="CN1449" s="6"/>
      <c r="CO1449" s="7"/>
      <c r="CP1449" s="6"/>
      <c r="CQ1449" s="7"/>
      <c r="CR1449" s="6"/>
      <c r="CS1449" s="7"/>
      <c r="CT1449" s="8">
        <f t="shared" si="363"/>
        <v>0</v>
      </c>
      <c r="CU1449" s="9"/>
      <c r="CV1449" s="10"/>
      <c r="CW1449" s="11"/>
      <c r="CX1449" s="12"/>
      <c r="CY1449" s="26"/>
      <c r="CZ1449" s="12"/>
      <c r="DA1449" s="9"/>
      <c r="DB1449" s="10"/>
      <c r="DC1449" s="64"/>
      <c r="DD1449" s="22"/>
    </row>
    <row r="1450" spans="1:108" s="119" customFormat="1" ht="24" outlineLevel="2">
      <c r="A1450" s="178">
        <v>40409</v>
      </c>
      <c r="B1450" s="82" t="s">
        <v>905</v>
      </c>
      <c r="C1450" s="82" t="s">
        <v>1879</v>
      </c>
      <c r="D1450" s="165" t="s">
        <v>435</v>
      </c>
      <c r="E1450" s="167"/>
      <c r="F1450" s="66"/>
      <c r="G1450" s="66"/>
      <c r="H1450" s="66">
        <v>75</v>
      </c>
      <c r="I1450" s="66">
        <v>15</v>
      </c>
      <c r="J1450" s="66"/>
      <c r="K1450" s="66">
        <v>15</v>
      </c>
      <c r="L1450" s="66"/>
      <c r="M1450" s="66"/>
      <c r="N1450" s="66"/>
      <c r="O1450" s="66"/>
      <c r="P1450" s="66"/>
      <c r="Q1450" s="66"/>
      <c r="R1450" s="66"/>
      <c r="S1450" s="66"/>
      <c r="T1450" s="67"/>
      <c r="U1450" s="151"/>
      <c r="V1450" s="1"/>
      <c r="W1450" s="68">
        <f t="shared" si="358"/>
        <v>0</v>
      </c>
      <c r="X1450" s="68">
        <f t="shared" si="359"/>
        <v>0</v>
      </c>
      <c r="Y1450" s="68">
        <f t="shared" si="360"/>
        <v>0</v>
      </c>
      <c r="Z1450" s="68">
        <f t="shared" si="361"/>
        <v>0</v>
      </c>
      <c r="AA1450" s="68"/>
      <c r="AB1450" s="68">
        <v>0</v>
      </c>
      <c r="AC1450" s="69">
        <f t="shared" si="362"/>
        <v>0</v>
      </c>
      <c r="AD1450" s="70">
        <v>0</v>
      </c>
      <c r="AE1450" s="63">
        <v>40413</v>
      </c>
      <c r="AF1450" s="72"/>
      <c r="AG1450" s="63" t="s">
        <v>938</v>
      </c>
      <c r="AH1450" s="23" t="s">
        <v>939</v>
      </c>
      <c r="AI1450" s="60"/>
      <c r="AJ1450" s="133" t="s">
        <v>1608</v>
      </c>
      <c r="AK1450" s="73" t="s">
        <v>2103</v>
      </c>
      <c r="AL1450" s="3"/>
      <c r="AM1450" s="4"/>
      <c r="AN1450" s="5"/>
      <c r="AO1450" s="4"/>
      <c r="AP1450" s="4"/>
      <c r="AQ1450" s="4"/>
      <c r="AR1450" s="4"/>
      <c r="AS1450" s="4"/>
      <c r="AT1450" s="4"/>
      <c r="AU1450" s="4"/>
      <c r="AV1450" s="4"/>
      <c r="AW1450" s="4"/>
      <c r="AX1450" s="4"/>
      <c r="AY1450" s="4"/>
      <c r="AZ1450" s="4"/>
      <c r="BA1450" s="4"/>
      <c r="BB1450" s="4"/>
      <c r="BC1450" s="4"/>
      <c r="BD1450" s="4"/>
      <c r="BE1450" s="4"/>
      <c r="BF1450" s="4"/>
      <c r="BG1450" s="4"/>
      <c r="BH1450" s="4"/>
      <c r="BI1450" s="4"/>
      <c r="BJ1450" s="4"/>
      <c r="BK1450" s="4"/>
      <c r="BL1450" s="4"/>
      <c r="BM1450" s="4"/>
      <c r="BN1450" s="4"/>
      <c r="BO1450" s="4"/>
      <c r="BP1450" s="4"/>
      <c r="BQ1450" s="4"/>
      <c r="BR1450" s="4"/>
      <c r="BS1450" s="4"/>
      <c r="BT1450" s="4"/>
      <c r="BU1450" s="4"/>
      <c r="BV1450" s="4"/>
      <c r="BW1450" s="4"/>
      <c r="BX1450" s="4"/>
      <c r="BY1450" s="4"/>
      <c r="BZ1450" s="4"/>
      <c r="CA1450" s="4"/>
      <c r="CB1450" s="4"/>
      <c r="CC1450" s="4"/>
      <c r="CD1450" s="4"/>
      <c r="CE1450" s="4"/>
      <c r="CF1450" s="4"/>
      <c r="CG1450" s="4"/>
      <c r="CH1450" s="4"/>
      <c r="CI1450" s="4"/>
      <c r="CJ1450" s="4"/>
      <c r="CK1450" s="4"/>
      <c r="CL1450" s="4"/>
      <c r="CM1450" s="4"/>
      <c r="CN1450" s="6"/>
      <c r="CO1450" s="7"/>
      <c r="CP1450" s="6"/>
      <c r="CQ1450" s="7"/>
      <c r="CR1450" s="6"/>
      <c r="CS1450" s="7"/>
      <c r="CT1450" s="8">
        <f t="shared" si="363"/>
        <v>0</v>
      </c>
      <c r="CU1450" s="9"/>
      <c r="CV1450" s="10"/>
      <c r="CW1450" s="11"/>
      <c r="CX1450" s="12"/>
      <c r="CY1450" s="26"/>
      <c r="CZ1450" s="12"/>
      <c r="DA1450" s="9"/>
      <c r="DB1450" s="10"/>
      <c r="DC1450" s="64"/>
      <c r="DD1450" s="22"/>
    </row>
    <row r="1451" spans="1:108" s="119" customFormat="1" ht="36" outlineLevel="2">
      <c r="A1451" s="178">
        <v>40417</v>
      </c>
      <c r="B1451" s="174" t="s">
        <v>905</v>
      </c>
      <c r="C1451" s="174" t="s">
        <v>906</v>
      </c>
      <c r="D1451" s="179" t="s">
        <v>435</v>
      </c>
      <c r="E1451" s="163"/>
      <c r="F1451" s="105"/>
      <c r="G1451" s="105"/>
      <c r="H1451" s="105">
        <v>500</v>
      </c>
      <c r="I1451" s="105">
        <v>100</v>
      </c>
      <c r="J1451" s="105"/>
      <c r="K1451" s="105">
        <v>100</v>
      </c>
      <c r="L1451" s="105"/>
      <c r="M1451" s="105"/>
      <c r="N1451" s="105"/>
      <c r="O1451" s="105"/>
      <c r="P1451" s="105"/>
      <c r="Q1451" s="105"/>
      <c r="R1451" s="105">
        <v>1</v>
      </c>
      <c r="S1451" s="105"/>
      <c r="T1451" s="106"/>
      <c r="U1451" s="130"/>
      <c r="V1451" s="1"/>
      <c r="W1451" s="68">
        <f t="shared" si="358"/>
        <v>0</v>
      </c>
      <c r="X1451" s="68">
        <f t="shared" si="359"/>
        <v>0</v>
      </c>
      <c r="Y1451" s="68">
        <f t="shared" si="360"/>
        <v>0</v>
      </c>
      <c r="Z1451" s="68">
        <f t="shared" si="361"/>
        <v>0</v>
      </c>
      <c r="AA1451" s="68"/>
      <c r="AB1451" s="68">
        <v>0</v>
      </c>
      <c r="AC1451" s="69">
        <f t="shared" si="362"/>
        <v>0</v>
      </c>
      <c r="AD1451" s="70">
        <v>0</v>
      </c>
      <c r="AE1451" s="63">
        <v>40418</v>
      </c>
      <c r="AF1451" s="72"/>
      <c r="AG1451" s="63" t="s">
        <v>938</v>
      </c>
      <c r="AH1451" s="23" t="s">
        <v>939</v>
      </c>
      <c r="AI1451" s="60"/>
      <c r="AJ1451" s="124" t="s">
        <v>1608</v>
      </c>
      <c r="AK1451" s="121" t="s">
        <v>2253</v>
      </c>
      <c r="AL1451" s="107"/>
      <c r="AM1451" s="108"/>
      <c r="AN1451" s="109"/>
      <c r="AO1451" s="108"/>
      <c r="AP1451" s="108"/>
      <c r="AQ1451" s="108"/>
      <c r="AR1451" s="108"/>
      <c r="AS1451" s="108"/>
      <c r="AT1451" s="108"/>
      <c r="AU1451" s="108"/>
      <c r="AV1451" s="108"/>
      <c r="AW1451" s="108"/>
      <c r="AX1451" s="108"/>
      <c r="AY1451" s="108"/>
      <c r="AZ1451" s="108"/>
      <c r="BA1451" s="108"/>
      <c r="BB1451" s="108"/>
      <c r="BC1451" s="108"/>
      <c r="BD1451" s="108"/>
      <c r="BE1451" s="108"/>
      <c r="BF1451" s="108"/>
      <c r="BG1451" s="108"/>
      <c r="BH1451" s="108"/>
      <c r="BI1451" s="108"/>
      <c r="BJ1451" s="108"/>
      <c r="BK1451" s="108"/>
      <c r="BL1451" s="108"/>
      <c r="BM1451" s="108"/>
      <c r="BN1451" s="108"/>
      <c r="BO1451" s="108"/>
      <c r="BP1451" s="108"/>
      <c r="BQ1451" s="108"/>
      <c r="BR1451" s="108"/>
      <c r="BS1451" s="108"/>
      <c r="BT1451" s="108"/>
      <c r="BU1451" s="108"/>
      <c r="BV1451" s="108"/>
      <c r="BW1451" s="108"/>
      <c r="BX1451" s="108"/>
      <c r="BY1451" s="108"/>
      <c r="BZ1451" s="108"/>
      <c r="CA1451" s="108"/>
      <c r="CB1451" s="108"/>
      <c r="CC1451" s="108"/>
      <c r="CD1451" s="108"/>
      <c r="CE1451" s="108"/>
      <c r="CF1451" s="108"/>
      <c r="CG1451" s="108"/>
      <c r="CH1451" s="108"/>
      <c r="CI1451" s="108"/>
      <c r="CJ1451" s="108"/>
      <c r="CK1451" s="108"/>
      <c r="CL1451" s="108"/>
      <c r="CM1451" s="108"/>
      <c r="CN1451" s="110"/>
      <c r="CO1451" s="111"/>
      <c r="CP1451" s="110"/>
      <c r="CQ1451" s="111"/>
      <c r="CR1451" s="110"/>
      <c r="CS1451" s="111"/>
      <c r="CT1451" s="112">
        <f t="shared" si="363"/>
        <v>0</v>
      </c>
      <c r="CU1451" s="113"/>
      <c r="CV1451" s="114"/>
      <c r="CW1451" s="115"/>
      <c r="CX1451" s="116"/>
      <c r="CY1451" s="117"/>
      <c r="CZ1451" s="116"/>
      <c r="DA1451" s="113"/>
      <c r="DB1451" s="114"/>
      <c r="DC1451" s="64"/>
      <c r="DD1451" s="118"/>
    </row>
    <row r="1452" spans="1:108" s="119" customFormat="1" ht="24" outlineLevel="2">
      <c r="A1452" s="178">
        <v>40429</v>
      </c>
      <c r="B1452" s="174" t="s">
        <v>905</v>
      </c>
      <c r="C1452" s="174" t="s">
        <v>906</v>
      </c>
      <c r="D1452" s="165" t="s">
        <v>1182</v>
      </c>
      <c r="E1452" s="163"/>
      <c r="F1452" s="105"/>
      <c r="G1452" s="105"/>
      <c r="H1452" s="105">
        <v>15</v>
      </c>
      <c r="I1452" s="105">
        <v>3</v>
      </c>
      <c r="J1452" s="105"/>
      <c r="K1452" s="105">
        <v>3</v>
      </c>
      <c r="L1452" s="105"/>
      <c r="M1452" s="105"/>
      <c r="N1452" s="105"/>
      <c r="O1452" s="105"/>
      <c r="P1452" s="105"/>
      <c r="Q1452" s="105"/>
      <c r="R1452" s="105"/>
      <c r="S1452" s="105"/>
      <c r="T1452" s="106"/>
      <c r="U1452" s="130"/>
      <c r="V1452" s="1"/>
      <c r="W1452" s="68">
        <f t="shared" si="358"/>
        <v>0</v>
      </c>
      <c r="X1452" s="68">
        <f t="shared" si="359"/>
        <v>0</v>
      </c>
      <c r="Y1452" s="68">
        <f t="shared" si="360"/>
        <v>0</v>
      </c>
      <c r="Z1452" s="68">
        <f t="shared" si="361"/>
        <v>0</v>
      </c>
      <c r="AA1452" s="68"/>
      <c r="AB1452" s="68">
        <v>0</v>
      </c>
      <c r="AC1452" s="69">
        <f t="shared" si="362"/>
        <v>0</v>
      </c>
      <c r="AD1452" s="70">
        <v>0</v>
      </c>
      <c r="AE1452" s="63">
        <v>40429</v>
      </c>
      <c r="AF1452" s="72"/>
      <c r="AG1452" s="63" t="s">
        <v>938</v>
      </c>
      <c r="AH1452" s="23" t="s">
        <v>939</v>
      </c>
      <c r="AI1452" s="60"/>
      <c r="AJ1452" s="124" t="s">
        <v>1608</v>
      </c>
      <c r="AK1452" s="121" t="s">
        <v>1749</v>
      </c>
      <c r="AL1452" s="107"/>
      <c r="AM1452" s="108"/>
      <c r="AN1452" s="109"/>
      <c r="AO1452" s="108"/>
      <c r="AP1452" s="108"/>
      <c r="AQ1452" s="108"/>
      <c r="AR1452" s="108"/>
      <c r="AS1452" s="108"/>
      <c r="AT1452" s="108"/>
      <c r="AU1452" s="108"/>
      <c r="AV1452" s="108"/>
      <c r="AW1452" s="108"/>
      <c r="AX1452" s="108"/>
      <c r="AY1452" s="108"/>
      <c r="AZ1452" s="108"/>
      <c r="BA1452" s="108"/>
      <c r="BB1452" s="108"/>
      <c r="BC1452" s="108"/>
      <c r="BD1452" s="108"/>
      <c r="BE1452" s="108"/>
      <c r="BF1452" s="108"/>
      <c r="BG1452" s="108"/>
      <c r="BH1452" s="108"/>
      <c r="BI1452" s="108"/>
      <c r="BJ1452" s="108"/>
      <c r="BK1452" s="108"/>
      <c r="BL1452" s="108"/>
      <c r="BM1452" s="108"/>
      <c r="BN1452" s="108"/>
      <c r="BO1452" s="108"/>
      <c r="BP1452" s="108"/>
      <c r="BQ1452" s="108"/>
      <c r="BR1452" s="108"/>
      <c r="BS1452" s="108"/>
      <c r="BT1452" s="108"/>
      <c r="BU1452" s="108"/>
      <c r="BV1452" s="108"/>
      <c r="BW1452" s="108"/>
      <c r="BX1452" s="108"/>
      <c r="BY1452" s="108"/>
      <c r="BZ1452" s="108"/>
      <c r="CA1452" s="108"/>
      <c r="CB1452" s="108"/>
      <c r="CC1452" s="108"/>
      <c r="CD1452" s="108"/>
      <c r="CE1452" s="108"/>
      <c r="CF1452" s="108"/>
      <c r="CG1452" s="108"/>
      <c r="CH1452" s="108"/>
      <c r="CI1452" s="108"/>
      <c r="CJ1452" s="108"/>
      <c r="CK1452" s="108"/>
      <c r="CL1452" s="108"/>
      <c r="CM1452" s="108"/>
      <c r="CN1452" s="110"/>
      <c r="CO1452" s="111"/>
      <c r="CP1452" s="110"/>
      <c r="CQ1452" s="111"/>
      <c r="CR1452" s="110"/>
      <c r="CS1452" s="111"/>
      <c r="CT1452" s="112">
        <f t="shared" si="363"/>
        <v>0</v>
      </c>
      <c r="CU1452" s="113"/>
      <c r="CV1452" s="114"/>
      <c r="CW1452" s="115"/>
      <c r="CX1452" s="116"/>
      <c r="CY1452" s="117"/>
      <c r="CZ1452" s="116"/>
      <c r="DA1452" s="113"/>
      <c r="DB1452" s="114"/>
      <c r="DC1452" s="64"/>
      <c r="DD1452" s="118">
        <v>1267</v>
      </c>
    </row>
    <row r="1453" spans="1:108" s="119" customFormat="1" ht="24" outlineLevel="2">
      <c r="A1453" s="178">
        <v>40441</v>
      </c>
      <c r="B1453" s="164" t="s">
        <v>905</v>
      </c>
      <c r="C1453" s="164" t="s">
        <v>2376</v>
      </c>
      <c r="D1453" s="165" t="s">
        <v>1182</v>
      </c>
      <c r="E1453" s="163"/>
      <c r="F1453" s="105"/>
      <c r="G1453" s="105"/>
      <c r="H1453" s="105">
        <v>2</v>
      </c>
      <c r="I1453" s="105">
        <v>1</v>
      </c>
      <c r="J1453" s="105"/>
      <c r="K1453" s="105">
        <v>1</v>
      </c>
      <c r="L1453" s="105"/>
      <c r="M1453" s="105"/>
      <c r="N1453" s="105"/>
      <c r="O1453" s="105"/>
      <c r="P1453" s="105"/>
      <c r="Q1453" s="105"/>
      <c r="R1453" s="105"/>
      <c r="S1453" s="105"/>
      <c r="T1453" s="106"/>
      <c r="U1453" s="130"/>
      <c r="V1453" s="1"/>
      <c r="W1453" s="68">
        <f t="shared" si="358"/>
        <v>0</v>
      </c>
      <c r="X1453" s="68">
        <f t="shared" si="359"/>
        <v>0</v>
      </c>
      <c r="Y1453" s="68">
        <f t="shared" si="360"/>
        <v>0</v>
      </c>
      <c r="Z1453" s="68">
        <f t="shared" si="361"/>
        <v>0</v>
      </c>
      <c r="AA1453" s="68"/>
      <c r="AB1453" s="68">
        <v>0</v>
      </c>
      <c r="AC1453" s="69">
        <f t="shared" si="362"/>
        <v>0</v>
      </c>
      <c r="AD1453" s="70">
        <v>0</v>
      </c>
      <c r="AE1453" s="63">
        <v>40444</v>
      </c>
      <c r="AF1453" s="72"/>
      <c r="AG1453" s="63" t="s">
        <v>938</v>
      </c>
      <c r="AH1453" s="23" t="s">
        <v>939</v>
      </c>
      <c r="AI1453" s="60"/>
      <c r="AJ1453" s="124" t="s">
        <v>1608</v>
      </c>
      <c r="AK1453" s="121" t="s">
        <v>1316</v>
      </c>
      <c r="AL1453" s="107"/>
      <c r="AM1453" s="108"/>
      <c r="AN1453" s="109"/>
      <c r="AO1453" s="108"/>
      <c r="AP1453" s="108"/>
      <c r="AQ1453" s="108"/>
      <c r="AR1453" s="108"/>
      <c r="AS1453" s="108"/>
      <c r="AT1453" s="108"/>
      <c r="AU1453" s="108"/>
      <c r="AV1453" s="108"/>
      <c r="AW1453" s="108"/>
      <c r="AX1453" s="108"/>
      <c r="AY1453" s="108"/>
      <c r="AZ1453" s="108"/>
      <c r="BA1453" s="108"/>
      <c r="BB1453" s="108"/>
      <c r="BC1453" s="108"/>
      <c r="BD1453" s="108"/>
      <c r="BE1453" s="108"/>
      <c r="BF1453" s="108"/>
      <c r="BG1453" s="108"/>
      <c r="BH1453" s="108"/>
      <c r="BI1453" s="108"/>
      <c r="BJ1453" s="108"/>
      <c r="BK1453" s="108"/>
      <c r="BL1453" s="108"/>
      <c r="BM1453" s="108"/>
      <c r="BN1453" s="108"/>
      <c r="BO1453" s="108"/>
      <c r="BP1453" s="108"/>
      <c r="BQ1453" s="108"/>
      <c r="BR1453" s="108"/>
      <c r="BS1453" s="108"/>
      <c r="BT1453" s="108"/>
      <c r="BU1453" s="108"/>
      <c r="BV1453" s="108"/>
      <c r="BW1453" s="108"/>
      <c r="BX1453" s="108"/>
      <c r="BY1453" s="108"/>
      <c r="BZ1453" s="108"/>
      <c r="CA1453" s="108"/>
      <c r="CB1453" s="108"/>
      <c r="CC1453" s="108"/>
      <c r="CD1453" s="108"/>
      <c r="CE1453" s="108"/>
      <c r="CF1453" s="108"/>
      <c r="CG1453" s="108"/>
      <c r="CH1453" s="108"/>
      <c r="CI1453" s="108"/>
      <c r="CJ1453" s="108"/>
      <c r="CK1453" s="108"/>
      <c r="CL1453" s="108"/>
      <c r="CM1453" s="108"/>
      <c r="CN1453" s="110"/>
      <c r="CO1453" s="111"/>
      <c r="CP1453" s="110"/>
      <c r="CQ1453" s="111"/>
      <c r="CR1453" s="110"/>
      <c r="CS1453" s="111"/>
      <c r="CT1453" s="112">
        <f t="shared" si="363"/>
        <v>0</v>
      </c>
      <c r="CU1453" s="113"/>
      <c r="CV1453" s="114"/>
      <c r="CW1453" s="115"/>
      <c r="CX1453" s="116"/>
      <c r="CY1453" s="117"/>
      <c r="CZ1453" s="116"/>
      <c r="DA1453" s="113"/>
      <c r="DB1453" s="114"/>
      <c r="DC1453" s="64"/>
      <c r="DD1453" s="118"/>
    </row>
    <row r="1454" spans="1:108" s="119" customFormat="1" ht="36" outlineLevel="2">
      <c r="A1454" s="178">
        <v>40454</v>
      </c>
      <c r="B1454" s="164" t="s">
        <v>905</v>
      </c>
      <c r="C1454" s="164" t="s">
        <v>906</v>
      </c>
      <c r="D1454" s="165" t="s">
        <v>1182</v>
      </c>
      <c r="E1454" s="163"/>
      <c r="F1454" s="105"/>
      <c r="G1454" s="105"/>
      <c r="H1454" s="105">
        <v>20</v>
      </c>
      <c r="I1454" s="105">
        <v>4</v>
      </c>
      <c r="J1454" s="105">
        <v>1</v>
      </c>
      <c r="K1454" s="105">
        <v>3</v>
      </c>
      <c r="L1454" s="105"/>
      <c r="M1454" s="105"/>
      <c r="N1454" s="105"/>
      <c r="O1454" s="105"/>
      <c r="P1454" s="105"/>
      <c r="Q1454" s="105"/>
      <c r="R1454" s="105"/>
      <c r="S1454" s="105"/>
      <c r="T1454" s="106"/>
      <c r="U1454" s="130"/>
      <c r="V1454" s="1"/>
      <c r="W1454" s="68">
        <f t="shared" si="358"/>
        <v>0</v>
      </c>
      <c r="X1454" s="68">
        <f t="shared" si="359"/>
        <v>0</v>
      </c>
      <c r="Y1454" s="68">
        <f t="shared" si="360"/>
        <v>0</v>
      </c>
      <c r="Z1454" s="68">
        <f t="shared" si="361"/>
        <v>0</v>
      </c>
      <c r="AA1454" s="68"/>
      <c r="AB1454" s="68">
        <v>0</v>
      </c>
      <c r="AC1454" s="69">
        <f t="shared" si="362"/>
        <v>0</v>
      </c>
      <c r="AD1454" s="70">
        <v>0</v>
      </c>
      <c r="AE1454" s="63">
        <v>40455</v>
      </c>
      <c r="AF1454" s="72"/>
      <c r="AG1454" s="63" t="s">
        <v>938</v>
      </c>
      <c r="AH1454" s="23" t="s">
        <v>939</v>
      </c>
      <c r="AI1454" s="60"/>
      <c r="AJ1454" s="124" t="s">
        <v>1608</v>
      </c>
      <c r="AK1454" s="121" t="s">
        <v>196</v>
      </c>
      <c r="AL1454" s="107"/>
      <c r="AM1454" s="108"/>
      <c r="AN1454" s="109"/>
      <c r="AO1454" s="108"/>
      <c r="AP1454" s="108"/>
      <c r="AQ1454" s="108"/>
      <c r="AR1454" s="108"/>
      <c r="AS1454" s="108"/>
      <c r="AT1454" s="108"/>
      <c r="AU1454" s="108"/>
      <c r="AV1454" s="108"/>
      <c r="AW1454" s="108"/>
      <c r="AX1454" s="108"/>
      <c r="AY1454" s="108"/>
      <c r="AZ1454" s="108"/>
      <c r="BA1454" s="108"/>
      <c r="BB1454" s="108"/>
      <c r="BC1454" s="108"/>
      <c r="BD1454" s="108"/>
      <c r="BE1454" s="108"/>
      <c r="BF1454" s="108"/>
      <c r="BG1454" s="108"/>
      <c r="BH1454" s="108"/>
      <c r="BI1454" s="108"/>
      <c r="BJ1454" s="108"/>
      <c r="BK1454" s="108"/>
      <c r="BL1454" s="108"/>
      <c r="BM1454" s="108"/>
      <c r="BN1454" s="108"/>
      <c r="BO1454" s="108"/>
      <c r="BP1454" s="108"/>
      <c r="BQ1454" s="108"/>
      <c r="BR1454" s="108"/>
      <c r="BS1454" s="108"/>
      <c r="BT1454" s="108"/>
      <c r="BU1454" s="108"/>
      <c r="BV1454" s="108"/>
      <c r="BW1454" s="108"/>
      <c r="BX1454" s="108"/>
      <c r="BY1454" s="108"/>
      <c r="BZ1454" s="108"/>
      <c r="CA1454" s="108"/>
      <c r="CB1454" s="108"/>
      <c r="CC1454" s="108"/>
      <c r="CD1454" s="108"/>
      <c r="CE1454" s="108"/>
      <c r="CF1454" s="108"/>
      <c r="CG1454" s="108"/>
      <c r="CH1454" s="108"/>
      <c r="CI1454" s="108"/>
      <c r="CJ1454" s="108"/>
      <c r="CK1454" s="108"/>
      <c r="CL1454" s="108"/>
      <c r="CM1454" s="108"/>
      <c r="CN1454" s="110"/>
      <c r="CO1454" s="111"/>
      <c r="CP1454" s="110"/>
      <c r="CQ1454" s="111"/>
      <c r="CR1454" s="110"/>
      <c r="CS1454" s="111"/>
      <c r="CT1454" s="112">
        <f t="shared" si="363"/>
        <v>0</v>
      </c>
      <c r="CU1454" s="113"/>
      <c r="CV1454" s="114"/>
      <c r="CW1454" s="115"/>
      <c r="CX1454" s="116"/>
      <c r="CY1454" s="117"/>
      <c r="CZ1454" s="116"/>
      <c r="DA1454" s="113"/>
      <c r="DB1454" s="114"/>
      <c r="DC1454" s="64"/>
      <c r="DD1454" s="118">
        <v>1324</v>
      </c>
    </row>
    <row r="1455" spans="1:108" s="119" customFormat="1" ht="24" outlineLevel="2">
      <c r="A1455" s="178">
        <v>40458</v>
      </c>
      <c r="B1455" s="164" t="s">
        <v>905</v>
      </c>
      <c r="C1455" s="164" t="s">
        <v>212</v>
      </c>
      <c r="D1455" s="166" t="s">
        <v>1262</v>
      </c>
      <c r="E1455" s="163"/>
      <c r="F1455" s="105"/>
      <c r="G1455" s="105"/>
      <c r="H1455" s="105"/>
      <c r="I1455" s="105"/>
      <c r="J1455" s="105"/>
      <c r="K1455" s="105"/>
      <c r="L1455" s="105"/>
      <c r="M1455" s="105"/>
      <c r="N1455" s="105"/>
      <c r="O1455" s="105"/>
      <c r="P1455" s="105"/>
      <c r="Q1455" s="105"/>
      <c r="R1455" s="105"/>
      <c r="S1455" s="105"/>
      <c r="T1455" s="106"/>
      <c r="U1455" s="130"/>
      <c r="V1455" s="1"/>
      <c r="W1455" s="68">
        <f t="shared" si="358"/>
        <v>0</v>
      </c>
      <c r="X1455" s="68">
        <f t="shared" si="359"/>
        <v>0</v>
      </c>
      <c r="Y1455" s="68">
        <f t="shared" si="360"/>
        <v>0</v>
      </c>
      <c r="Z1455" s="68">
        <f t="shared" si="361"/>
        <v>0</v>
      </c>
      <c r="AA1455" s="68"/>
      <c r="AB1455" s="68">
        <v>0</v>
      </c>
      <c r="AC1455" s="69">
        <f t="shared" si="362"/>
        <v>0</v>
      </c>
      <c r="AD1455" s="70">
        <v>0</v>
      </c>
      <c r="AE1455" s="63">
        <v>40458</v>
      </c>
      <c r="AF1455" s="72"/>
      <c r="AG1455" s="63" t="s">
        <v>938</v>
      </c>
      <c r="AH1455" s="23" t="s">
        <v>939</v>
      </c>
      <c r="AI1455" s="60"/>
      <c r="AJ1455" s="124" t="s">
        <v>1608</v>
      </c>
      <c r="AK1455" s="121" t="s">
        <v>213</v>
      </c>
      <c r="AL1455" s="107"/>
      <c r="AM1455" s="108"/>
      <c r="AN1455" s="109"/>
      <c r="AO1455" s="108"/>
      <c r="AP1455" s="108"/>
      <c r="AQ1455" s="108"/>
      <c r="AR1455" s="108"/>
      <c r="AS1455" s="108"/>
      <c r="AT1455" s="108"/>
      <c r="AU1455" s="108"/>
      <c r="AV1455" s="108"/>
      <c r="AW1455" s="108"/>
      <c r="AX1455" s="108"/>
      <c r="AY1455" s="108"/>
      <c r="AZ1455" s="108"/>
      <c r="BA1455" s="108"/>
      <c r="BB1455" s="108"/>
      <c r="BC1455" s="108"/>
      <c r="BD1455" s="108"/>
      <c r="BE1455" s="108"/>
      <c r="BF1455" s="108"/>
      <c r="BG1455" s="108"/>
      <c r="BH1455" s="108"/>
      <c r="BI1455" s="108"/>
      <c r="BJ1455" s="108"/>
      <c r="BK1455" s="108"/>
      <c r="BL1455" s="108"/>
      <c r="BM1455" s="108"/>
      <c r="BN1455" s="108"/>
      <c r="BO1455" s="108"/>
      <c r="BP1455" s="108"/>
      <c r="BQ1455" s="108"/>
      <c r="BR1455" s="108"/>
      <c r="BS1455" s="108"/>
      <c r="BT1455" s="108"/>
      <c r="BU1455" s="108"/>
      <c r="BV1455" s="108"/>
      <c r="BW1455" s="108"/>
      <c r="BX1455" s="108"/>
      <c r="BY1455" s="108"/>
      <c r="BZ1455" s="108"/>
      <c r="CA1455" s="108"/>
      <c r="CB1455" s="108"/>
      <c r="CC1455" s="108"/>
      <c r="CD1455" s="108"/>
      <c r="CE1455" s="108"/>
      <c r="CF1455" s="108"/>
      <c r="CG1455" s="108"/>
      <c r="CH1455" s="108"/>
      <c r="CI1455" s="108"/>
      <c r="CJ1455" s="108"/>
      <c r="CK1455" s="108"/>
      <c r="CL1455" s="108"/>
      <c r="CM1455" s="108"/>
      <c r="CN1455" s="110"/>
      <c r="CO1455" s="111"/>
      <c r="CP1455" s="110"/>
      <c r="CQ1455" s="111"/>
      <c r="CR1455" s="110"/>
      <c r="CS1455" s="111"/>
      <c r="CT1455" s="112">
        <f t="shared" si="363"/>
        <v>0</v>
      </c>
      <c r="CU1455" s="113"/>
      <c r="CV1455" s="114"/>
      <c r="CW1455" s="115"/>
      <c r="CX1455" s="116"/>
      <c r="CY1455" s="117"/>
      <c r="CZ1455" s="116"/>
      <c r="DA1455" s="113"/>
      <c r="DB1455" s="114"/>
      <c r="DC1455" s="64"/>
      <c r="DD1455" s="118"/>
    </row>
    <row r="1456" spans="1:108" s="119" customFormat="1" outlineLevel="2">
      <c r="A1456" s="178">
        <v>40458</v>
      </c>
      <c r="B1456" s="164" t="s">
        <v>905</v>
      </c>
      <c r="C1456" s="164" t="s">
        <v>209</v>
      </c>
      <c r="D1456" s="166" t="s">
        <v>1262</v>
      </c>
      <c r="E1456" s="163"/>
      <c r="F1456" s="105"/>
      <c r="G1456" s="105"/>
      <c r="H1456" s="105">
        <v>100</v>
      </c>
      <c r="I1456" s="105">
        <v>20</v>
      </c>
      <c r="J1456" s="105">
        <v>1</v>
      </c>
      <c r="K1456" s="105">
        <v>16</v>
      </c>
      <c r="L1456" s="105">
        <v>9</v>
      </c>
      <c r="M1456" s="105"/>
      <c r="N1456" s="105"/>
      <c r="O1456" s="105"/>
      <c r="P1456" s="105"/>
      <c r="Q1456" s="105"/>
      <c r="R1456" s="105"/>
      <c r="S1456" s="105"/>
      <c r="T1456" s="106"/>
      <c r="U1456" s="130"/>
      <c r="V1456" s="1"/>
      <c r="W1456" s="68">
        <f t="shared" si="358"/>
        <v>0</v>
      </c>
      <c r="X1456" s="68">
        <f t="shared" si="359"/>
        <v>0</v>
      </c>
      <c r="Y1456" s="68">
        <f t="shared" si="360"/>
        <v>0</v>
      </c>
      <c r="Z1456" s="68">
        <f t="shared" si="361"/>
        <v>0</v>
      </c>
      <c r="AA1456" s="68"/>
      <c r="AB1456" s="68">
        <v>0</v>
      </c>
      <c r="AC1456" s="69">
        <f t="shared" si="362"/>
        <v>0</v>
      </c>
      <c r="AD1456" s="70">
        <v>0</v>
      </c>
      <c r="AE1456" s="63">
        <v>40458</v>
      </c>
      <c r="AF1456" s="72"/>
      <c r="AG1456" s="63" t="s">
        <v>938</v>
      </c>
      <c r="AH1456" s="23" t="s">
        <v>939</v>
      </c>
      <c r="AI1456" s="60"/>
      <c r="AJ1456" s="124" t="s">
        <v>1608</v>
      </c>
      <c r="AK1456" s="121" t="s">
        <v>1612</v>
      </c>
      <c r="AL1456" s="107"/>
      <c r="AM1456" s="108"/>
      <c r="AN1456" s="109"/>
      <c r="AO1456" s="108"/>
      <c r="AP1456" s="108"/>
      <c r="AQ1456" s="108"/>
      <c r="AR1456" s="108"/>
      <c r="AS1456" s="108"/>
      <c r="AT1456" s="108"/>
      <c r="AU1456" s="108"/>
      <c r="AV1456" s="108"/>
      <c r="AW1456" s="108"/>
      <c r="AX1456" s="108"/>
      <c r="AY1456" s="108"/>
      <c r="AZ1456" s="108"/>
      <c r="BA1456" s="108"/>
      <c r="BB1456" s="108"/>
      <c r="BC1456" s="108"/>
      <c r="BD1456" s="108"/>
      <c r="BE1456" s="108"/>
      <c r="BF1456" s="108"/>
      <c r="BG1456" s="108"/>
      <c r="BH1456" s="108"/>
      <c r="BI1456" s="108"/>
      <c r="BJ1456" s="108"/>
      <c r="BK1456" s="108"/>
      <c r="BL1456" s="108"/>
      <c r="BM1456" s="108"/>
      <c r="BN1456" s="108"/>
      <c r="BO1456" s="108"/>
      <c r="BP1456" s="108"/>
      <c r="BQ1456" s="108"/>
      <c r="BR1456" s="108"/>
      <c r="BS1456" s="108"/>
      <c r="BT1456" s="108"/>
      <c r="BU1456" s="108"/>
      <c r="BV1456" s="108"/>
      <c r="BW1456" s="108"/>
      <c r="BX1456" s="108"/>
      <c r="BY1456" s="108"/>
      <c r="BZ1456" s="108"/>
      <c r="CA1456" s="108"/>
      <c r="CB1456" s="108"/>
      <c r="CC1456" s="108"/>
      <c r="CD1456" s="108"/>
      <c r="CE1456" s="108"/>
      <c r="CF1456" s="108"/>
      <c r="CG1456" s="108"/>
      <c r="CH1456" s="108"/>
      <c r="CI1456" s="108"/>
      <c r="CJ1456" s="108"/>
      <c r="CK1456" s="108"/>
      <c r="CL1456" s="108"/>
      <c r="CM1456" s="108"/>
      <c r="CN1456" s="110"/>
      <c r="CO1456" s="111"/>
      <c r="CP1456" s="110"/>
      <c r="CQ1456" s="111"/>
      <c r="CR1456" s="110"/>
      <c r="CS1456" s="111"/>
      <c r="CT1456" s="112">
        <f t="shared" si="363"/>
        <v>0</v>
      </c>
      <c r="CU1456" s="113"/>
      <c r="CV1456" s="114"/>
      <c r="CW1456" s="115"/>
      <c r="CX1456" s="116"/>
      <c r="CY1456" s="117"/>
      <c r="CZ1456" s="116"/>
      <c r="DA1456" s="113"/>
      <c r="DB1456" s="114"/>
      <c r="DC1456" s="64"/>
      <c r="DD1456" s="118"/>
    </row>
    <row r="1457" spans="1:108" s="119" customFormat="1" ht="36" outlineLevel="2">
      <c r="A1457" s="178">
        <v>40458</v>
      </c>
      <c r="B1457" s="164" t="s">
        <v>905</v>
      </c>
      <c r="C1457" s="164" t="s">
        <v>210</v>
      </c>
      <c r="D1457" s="165" t="s">
        <v>1182</v>
      </c>
      <c r="E1457" s="163"/>
      <c r="F1457" s="105"/>
      <c r="G1457" s="105"/>
      <c r="H1457" s="105"/>
      <c r="I1457" s="105"/>
      <c r="J1457" s="105"/>
      <c r="K1457" s="105"/>
      <c r="L1457" s="105">
        <v>1</v>
      </c>
      <c r="M1457" s="105"/>
      <c r="N1457" s="105"/>
      <c r="O1457" s="105"/>
      <c r="P1457" s="105"/>
      <c r="Q1457" s="105"/>
      <c r="R1457" s="105"/>
      <c r="S1457" s="105"/>
      <c r="T1457" s="106"/>
      <c r="U1457" s="130"/>
      <c r="V1457" s="1"/>
      <c r="W1457" s="68">
        <f t="shared" si="358"/>
        <v>0</v>
      </c>
      <c r="X1457" s="68">
        <f t="shared" si="359"/>
        <v>0</v>
      </c>
      <c r="Y1457" s="68">
        <f t="shared" si="360"/>
        <v>0</v>
      </c>
      <c r="Z1457" s="68">
        <f t="shared" si="361"/>
        <v>0</v>
      </c>
      <c r="AA1457" s="68"/>
      <c r="AB1457" s="68">
        <v>0</v>
      </c>
      <c r="AC1457" s="69">
        <f t="shared" si="362"/>
        <v>0</v>
      </c>
      <c r="AD1457" s="70">
        <v>0</v>
      </c>
      <c r="AE1457" s="63">
        <v>40458</v>
      </c>
      <c r="AF1457" s="72"/>
      <c r="AG1457" s="63" t="s">
        <v>938</v>
      </c>
      <c r="AH1457" s="23" t="s">
        <v>939</v>
      </c>
      <c r="AI1457" s="60"/>
      <c r="AJ1457" s="124" t="s">
        <v>1608</v>
      </c>
      <c r="AK1457" s="121" t="s">
        <v>211</v>
      </c>
      <c r="AL1457" s="107"/>
      <c r="AM1457" s="108"/>
      <c r="AN1457" s="109"/>
      <c r="AO1457" s="108"/>
      <c r="AP1457" s="108"/>
      <c r="AQ1457" s="108"/>
      <c r="AR1457" s="108"/>
      <c r="AS1457" s="108"/>
      <c r="AT1457" s="108"/>
      <c r="AU1457" s="108"/>
      <c r="AV1457" s="108"/>
      <c r="AW1457" s="108"/>
      <c r="AX1457" s="108"/>
      <c r="AY1457" s="108"/>
      <c r="AZ1457" s="108"/>
      <c r="BA1457" s="108"/>
      <c r="BB1457" s="108"/>
      <c r="BC1457" s="108"/>
      <c r="BD1457" s="108"/>
      <c r="BE1457" s="108"/>
      <c r="BF1457" s="108"/>
      <c r="BG1457" s="108"/>
      <c r="BH1457" s="108"/>
      <c r="BI1457" s="108"/>
      <c r="BJ1457" s="108"/>
      <c r="BK1457" s="108"/>
      <c r="BL1457" s="108"/>
      <c r="BM1457" s="108"/>
      <c r="BN1457" s="108"/>
      <c r="BO1457" s="108"/>
      <c r="BP1457" s="108"/>
      <c r="BQ1457" s="108"/>
      <c r="BR1457" s="108"/>
      <c r="BS1457" s="108"/>
      <c r="BT1457" s="108"/>
      <c r="BU1457" s="108"/>
      <c r="BV1457" s="108"/>
      <c r="BW1457" s="108"/>
      <c r="BX1457" s="108"/>
      <c r="BY1457" s="108"/>
      <c r="BZ1457" s="108"/>
      <c r="CA1457" s="108"/>
      <c r="CB1457" s="108"/>
      <c r="CC1457" s="108"/>
      <c r="CD1457" s="108"/>
      <c r="CE1457" s="108"/>
      <c r="CF1457" s="108"/>
      <c r="CG1457" s="108"/>
      <c r="CH1457" s="108"/>
      <c r="CI1457" s="108"/>
      <c r="CJ1457" s="108"/>
      <c r="CK1457" s="108"/>
      <c r="CL1457" s="108"/>
      <c r="CM1457" s="108"/>
      <c r="CN1457" s="110"/>
      <c r="CO1457" s="111"/>
      <c r="CP1457" s="110"/>
      <c r="CQ1457" s="111"/>
      <c r="CR1457" s="110"/>
      <c r="CS1457" s="111"/>
      <c r="CT1457" s="112">
        <f t="shared" si="363"/>
        <v>0</v>
      </c>
      <c r="CU1457" s="113"/>
      <c r="CV1457" s="114"/>
      <c r="CW1457" s="115"/>
      <c r="CX1457" s="116"/>
      <c r="CY1457" s="117"/>
      <c r="CZ1457" s="116"/>
      <c r="DA1457" s="113"/>
      <c r="DB1457" s="114"/>
      <c r="DC1457" s="64"/>
      <c r="DD1457" s="118"/>
    </row>
    <row r="1458" spans="1:108" s="119" customFormat="1" ht="24" outlineLevel="2">
      <c r="A1458" s="178">
        <v>40478</v>
      </c>
      <c r="B1458" s="164" t="s">
        <v>905</v>
      </c>
      <c r="C1458" s="164" t="s">
        <v>906</v>
      </c>
      <c r="D1458" s="165" t="s">
        <v>1182</v>
      </c>
      <c r="E1458" s="163"/>
      <c r="F1458" s="105"/>
      <c r="G1458" s="105"/>
      <c r="H1458" s="105">
        <v>15</v>
      </c>
      <c r="I1458" s="105">
        <v>3</v>
      </c>
      <c r="J1458" s="105"/>
      <c r="K1458" s="105">
        <v>3</v>
      </c>
      <c r="L1458" s="105"/>
      <c r="M1458" s="105"/>
      <c r="N1458" s="105"/>
      <c r="O1458" s="105"/>
      <c r="P1458" s="105"/>
      <c r="Q1458" s="105"/>
      <c r="R1458" s="105"/>
      <c r="S1458" s="105"/>
      <c r="T1458" s="106"/>
      <c r="U1458" s="130"/>
      <c r="V1458" s="1"/>
      <c r="W1458" s="68">
        <f t="shared" si="358"/>
        <v>0</v>
      </c>
      <c r="X1458" s="68">
        <f t="shared" si="359"/>
        <v>0</v>
      </c>
      <c r="Y1458" s="68">
        <f t="shared" si="360"/>
        <v>0</v>
      </c>
      <c r="Z1458" s="68">
        <f t="shared" si="361"/>
        <v>0</v>
      </c>
      <c r="AA1458" s="68"/>
      <c r="AB1458" s="68">
        <v>0</v>
      </c>
      <c r="AC1458" s="69">
        <f t="shared" si="362"/>
        <v>0</v>
      </c>
      <c r="AD1458" s="70">
        <v>0</v>
      </c>
      <c r="AE1458" s="63">
        <v>40478</v>
      </c>
      <c r="AF1458" s="72"/>
      <c r="AG1458" s="63" t="s">
        <v>938</v>
      </c>
      <c r="AH1458" s="23" t="s">
        <v>939</v>
      </c>
      <c r="AI1458" s="60"/>
      <c r="AJ1458" s="124" t="s">
        <v>1608</v>
      </c>
      <c r="AK1458" s="121" t="s">
        <v>1828</v>
      </c>
      <c r="AL1458" s="107"/>
      <c r="AM1458" s="108"/>
      <c r="AN1458" s="109"/>
      <c r="AO1458" s="108"/>
      <c r="AP1458" s="108"/>
      <c r="AQ1458" s="108"/>
      <c r="AR1458" s="108"/>
      <c r="AS1458" s="108"/>
      <c r="AT1458" s="108"/>
      <c r="AU1458" s="108"/>
      <c r="AV1458" s="108"/>
      <c r="AW1458" s="108"/>
      <c r="AX1458" s="108"/>
      <c r="AY1458" s="108"/>
      <c r="AZ1458" s="108"/>
      <c r="BA1458" s="108"/>
      <c r="BB1458" s="108"/>
      <c r="BC1458" s="108"/>
      <c r="BD1458" s="108"/>
      <c r="BE1458" s="108"/>
      <c r="BF1458" s="108"/>
      <c r="BG1458" s="108"/>
      <c r="BH1458" s="108"/>
      <c r="BI1458" s="108"/>
      <c r="BJ1458" s="108"/>
      <c r="BK1458" s="108"/>
      <c r="BL1458" s="108"/>
      <c r="BM1458" s="108"/>
      <c r="BN1458" s="108"/>
      <c r="BO1458" s="108"/>
      <c r="BP1458" s="108"/>
      <c r="BQ1458" s="108"/>
      <c r="BR1458" s="108"/>
      <c r="BS1458" s="108"/>
      <c r="BT1458" s="108"/>
      <c r="BU1458" s="108"/>
      <c r="BV1458" s="108"/>
      <c r="BW1458" s="108"/>
      <c r="BX1458" s="108"/>
      <c r="BY1458" s="108"/>
      <c r="BZ1458" s="108"/>
      <c r="CA1458" s="108"/>
      <c r="CB1458" s="108"/>
      <c r="CC1458" s="108"/>
      <c r="CD1458" s="108"/>
      <c r="CE1458" s="108"/>
      <c r="CF1458" s="108"/>
      <c r="CG1458" s="108"/>
      <c r="CH1458" s="108"/>
      <c r="CI1458" s="108"/>
      <c r="CJ1458" s="108"/>
      <c r="CK1458" s="108"/>
      <c r="CL1458" s="108"/>
      <c r="CM1458" s="108"/>
      <c r="CN1458" s="110"/>
      <c r="CO1458" s="111"/>
      <c r="CP1458" s="110"/>
      <c r="CQ1458" s="111"/>
      <c r="CR1458" s="110"/>
      <c r="CS1458" s="111"/>
      <c r="CT1458" s="112">
        <f t="shared" si="363"/>
        <v>0</v>
      </c>
      <c r="CU1458" s="113"/>
      <c r="CV1458" s="114"/>
      <c r="CW1458" s="115"/>
      <c r="CX1458" s="116"/>
      <c r="CY1458" s="117"/>
      <c r="CZ1458" s="116"/>
      <c r="DA1458" s="113"/>
      <c r="DB1458" s="114"/>
      <c r="DC1458" s="64"/>
      <c r="DD1458" s="118"/>
    </row>
    <row r="1459" spans="1:108" s="119" customFormat="1" ht="60" outlineLevel="2">
      <c r="A1459" s="178">
        <v>40488</v>
      </c>
      <c r="B1459" s="164" t="s">
        <v>905</v>
      </c>
      <c r="C1459" s="164" t="s">
        <v>1724</v>
      </c>
      <c r="D1459" s="166" t="s">
        <v>1262</v>
      </c>
      <c r="E1459" s="163"/>
      <c r="F1459" s="105"/>
      <c r="G1459" s="105"/>
      <c r="H1459" s="105">
        <v>324</v>
      </c>
      <c r="I1459" s="105">
        <v>100</v>
      </c>
      <c r="J1459" s="105">
        <v>19</v>
      </c>
      <c r="K1459" s="105">
        <v>79</v>
      </c>
      <c r="L1459" s="105">
        <v>1</v>
      </c>
      <c r="M1459" s="105"/>
      <c r="N1459" s="105"/>
      <c r="O1459" s="105"/>
      <c r="P1459" s="105"/>
      <c r="Q1459" s="105">
        <v>1</v>
      </c>
      <c r="R1459" s="105"/>
      <c r="S1459" s="105">
        <v>2</v>
      </c>
      <c r="T1459" s="106"/>
      <c r="U1459" s="130"/>
      <c r="V1459" s="1"/>
      <c r="W1459" s="68">
        <f t="shared" si="358"/>
        <v>0</v>
      </c>
      <c r="X1459" s="68">
        <f t="shared" si="359"/>
        <v>0</v>
      </c>
      <c r="Y1459" s="68">
        <f t="shared" si="360"/>
        <v>0</v>
      </c>
      <c r="Z1459" s="68">
        <f t="shared" si="361"/>
        <v>0</v>
      </c>
      <c r="AA1459" s="68"/>
      <c r="AB1459" s="68">
        <v>0</v>
      </c>
      <c r="AC1459" s="69">
        <f t="shared" si="362"/>
        <v>0</v>
      </c>
      <c r="AD1459" s="70">
        <v>0</v>
      </c>
      <c r="AE1459" s="63">
        <v>40490</v>
      </c>
      <c r="AF1459" s="72"/>
      <c r="AG1459" s="63" t="s">
        <v>938</v>
      </c>
      <c r="AH1459" s="23" t="s">
        <v>939</v>
      </c>
      <c r="AI1459" s="60"/>
      <c r="AJ1459" s="124" t="s">
        <v>1608</v>
      </c>
      <c r="AK1459" s="121" t="s">
        <v>468</v>
      </c>
      <c r="AL1459" s="107"/>
      <c r="AM1459" s="108"/>
      <c r="AN1459" s="109"/>
      <c r="AO1459" s="108"/>
      <c r="AP1459" s="108"/>
      <c r="AQ1459" s="108"/>
      <c r="AR1459" s="108"/>
      <c r="AS1459" s="108"/>
      <c r="AT1459" s="108"/>
      <c r="AU1459" s="108"/>
      <c r="AV1459" s="108"/>
      <c r="AW1459" s="108"/>
      <c r="AX1459" s="108"/>
      <c r="AY1459" s="108"/>
      <c r="AZ1459" s="108"/>
      <c r="BA1459" s="108"/>
      <c r="BB1459" s="108"/>
      <c r="BC1459" s="108"/>
      <c r="BD1459" s="108"/>
      <c r="BE1459" s="108"/>
      <c r="BF1459" s="108"/>
      <c r="BG1459" s="108"/>
      <c r="BH1459" s="108"/>
      <c r="BI1459" s="108"/>
      <c r="BJ1459" s="108"/>
      <c r="BK1459" s="108"/>
      <c r="BL1459" s="108"/>
      <c r="BM1459" s="108"/>
      <c r="BN1459" s="108"/>
      <c r="BO1459" s="108"/>
      <c r="BP1459" s="108"/>
      <c r="BQ1459" s="108"/>
      <c r="BR1459" s="108"/>
      <c r="BS1459" s="108"/>
      <c r="BT1459" s="108"/>
      <c r="BU1459" s="108"/>
      <c r="BV1459" s="108"/>
      <c r="BW1459" s="108"/>
      <c r="BX1459" s="108"/>
      <c r="BY1459" s="108"/>
      <c r="BZ1459" s="108"/>
      <c r="CA1459" s="108"/>
      <c r="CB1459" s="108"/>
      <c r="CC1459" s="108"/>
      <c r="CD1459" s="108"/>
      <c r="CE1459" s="108"/>
      <c r="CF1459" s="108"/>
      <c r="CG1459" s="108"/>
      <c r="CH1459" s="108"/>
      <c r="CI1459" s="108"/>
      <c r="CJ1459" s="108"/>
      <c r="CK1459" s="108"/>
      <c r="CL1459" s="108"/>
      <c r="CM1459" s="108"/>
      <c r="CN1459" s="110"/>
      <c r="CO1459" s="111"/>
      <c r="CP1459" s="110"/>
      <c r="CQ1459" s="111"/>
      <c r="CR1459" s="110"/>
      <c r="CS1459" s="111"/>
      <c r="CT1459" s="112">
        <f t="shared" si="363"/>
        <v>0</v>
      </c>
      <c r="CU1459" s="113"/>
      <c r="CV1459" s="114"/>
      <c r="CW1459" s="115"/>
      <c r="CX1459" s="116"/>
      <c r="CY1459" s="117"/>
      <c r="CZ1459" s="116"/>
      <c r="DA1459" s="113"/>
      <c r="DB1459" s="114"/>
      <c r="DC1459" s="64"/>
      <c r="DD1459" s="118"/>
    </row>
    <row r="1460" spans="1:108" s="119" customFormat="1" outlineLevel="2">
      <c r="A1460" s="178">
        <v>40488</v>
      </c>
      <c r="B1460" s="164" t="s">
        <v>905</v>
      </c>
      <c r="C1460" s="164" t="s">
        <v>1718</v>
      </c>
      <c r="D1460" s="166" t="s">
        <v>1262</v>
      </c>
      <c r="E1460" s="163"/>
      <c r="F1460" s="105"/>
      <c r="G1460" s="105"/>
      <c r="H1460" s="105">
        <v>10</v>
      </c>
      <c r="I1460" s="105">
        <v>2</v>
      </c>
      <c r="J1460" s="105"/>
      <c r="K1460" s="105">
        <v>2</v>
      </c>
      <c r="L1460" s="105"/>
      <c r="M1460" s="105"/>
      <c r="N1460" s="105"/>
      <c r="O1460" s="105"/>
      <c r="P1460" s="105"/>
      <c r="Q1460" s="105"/>
      <c r="R1460" s="105"/>
      <c r="S1460" s="105"/>
      <c r="T1460" s="106"/>
      <c r="U1460" s="130"/>
      <c r="V1460" s="1"/>
      <c r="W1460" s="68">
        <f t="shared" si="358"/>
        <v>0</v>
      </c>
      <c r="X1460" s="68">
        <f t="shared" si="359"/>
        <v>0</v>
      </c>
      <c r="Y1460" s="68">
        <f t="shared" si="360"/>
        <v>0</v>
      </c>
      <c r="Z1460" s="68">
        <f t="shared" si="361"/>
        <v>0</v>
      </c>
      <c r="AA1460" s="68"/>
      <c r="AB1460" s="68">
        <v>0</v>
      </c>
      <c r="AC1460" s="69">
        <f t="shared" si="362"/>
        <v>0</v>
      </c>
      <c r="AD1460" s="70">
        <v>0</v>
      </c>
      <c r="AE1460" s="63">
        <v>40490</v>
      </c>
      <c r="AF1460" s="72"/>
      <c r="AG1460" s="63" t="s">
        <v>938</v>
      </c>
      <c r="AH1460" s="23" t="s">
        <v>939</v>
      </c>
      <c r="AI1460" s="60"/>
      <c r="AJ1460" s="124" t="s">
        <v>1608</v>
      </c>
      <c r="AK1460" s="121" t="s">
        <v>1781</v>
      </c>
      <c r="AL1460" s="107"/>
      <c r="AM1460" s="108"/>
      <c r="AN1460" s="109"/>
      <c r="AO1460" s="108"/>
      <c r="AP1460" s="108"/>
      <c r="AQ1460" s="108"/>
      <c r="AR1460" s="108"/>
      <c r="AS1460" s="108"/>
      <c r="AT1460" s="108"/>
      <c r="AU1460" s="108"/>
      <c r="AV1460" s="108"/>
      <c r="AW1460" s="108"/>
      <c r="AX1460" s="108"/>
      <c r="AY1460" s="108"/>
      <c r="AZ1460" s="108"/>
      <c r="BA1460" s="108"/>
      <c r="BB1460" s="108"/>
      <c r="BC1460" s="108"/>
      <c r="BD1460" s="108"/>
      <c r="BE1460" s="108"/>
      <c r="BF1460" s="108"/>
      <c r="BG1460" s="108"/>
      <c r="BH1460" s="108"/>
      <c r="BI1460" s="108"/>
      <c r="BJ1460" s="108"/>
      <c r="BK1460" s="108"/>
      <c r="BL1460" s="108"/>
      <c r="BM1460" s="108"/>
      <c r="BN1460" s="108"/>
      <c r="BO1460" s="108"/>
      <c r="BP1460" s="108"/>
      <c r="BQ1460" s="108"/>
      <c r="BR1460" s="108"/>
      <c r="BS1460" s="108"/>
      <c r="BT1460" s="108"/>
      <c r="BU1460" s="108"/>
      <c r="BV1460" s="108"/>
      <c r="BW1460" s="108"/>
      <c r="BX1460" s="108"/>
      <c r="BY1460" s="108"/>
      <c r="BZ1460" s="108"/>
      <c r="CA1460" s="108"/>
      <c r="CB1460" s="108"/>
      <c r="CC1460" s="108"/>
      <c r="CD1460" s="108"/>
      <c r="CE1460" s="108"/>
      <c r="CF1460" s="108"/>
      <c r="CG1460" s="108"/>
      <c r="CH1460" s="108"/>
      <c r="CI1460" s="108"/>
      <c r="CJ1460" s="108"/>
      <c r="CK1460" s="108"/>
      <c r="CL1460" s="108"/>
      <c r="CM1460" s="108"/>
      <c r="CN1460" s="110"/>
      <c r="CO1460" s="111"/>
      <c r="CP1460" s="110"/>
      <c r="CQ1460" s="111"/>
      <c r="CR1460" s="110"/>
      <c r="CS1460" s="111"/>
      <c r="CT1460" s="112">
        <f t="shared" si="363"/>
        <v>0</v>
      </c>
      <c r="CU1460" s="113"/>
      <c r="CV1460" s="114"/>
      <c r="CW1460" s="115"/>
      <c r="CX1460" s="116"/>
      <c r="CY1460" s="117"/>
      <c r="CZ1460" s="116"/>
      <c r="DA1460" s="113"/>
      <c r="DB1460" s="114"/>
      <c r="DC1460" s="64"/>
      <c r="DD1460" s="118"/>
    </row>
    <row r="1461" spans="1:108" s="119" customFormat="1" ht="24" outlineLevel="2">
      <c r="A1461" s="178">
        <v>40488</v>
      </c>
      <c r="B1461" s="177" t="s">
        <v>905</v>
      </c>
      <c r="C1461" s="164" t="s">
        <v>2375</v>
      </c>
      <c r="D1461" s="165" t="s">
        <v>1182</v>
      </c>
      <c r="E1461" s="163"/>
      <c r="F1461" s="105"/>
      <c r="G1461" s="105"/>
      <c r="H1461" s="105">
        <v>35</v>
      </c>
      <c r="I1461" s="105">
        <v>7</v>
      </c>
      <c r="J1461" s="105"/>
      <c r="K1461" s="105">
        <v>7</v>
      </c>
      <c r="L1461" s="105">
        <v>1</v>
      </c>
      <c r="M1461" s="105"/>
      <c r="N1461" s="105"/>
      <c r="O1461" s="105"/>
      <c r="P1461" s="105"/>
      <c r="Q1461" s="105"/>
      <c r="R1461" s="105">
        <v>1</v>
      </c>
      <c r="S1461" s="105"/>
      <c r="T1461" s="106"/>
      <c r="U1461" s="130"/>
      <c r="V1461" s="1"/>
      <c r="W1461" s="68">
        <f t="shared" si="358"/>
        <v>0</v>
      </c>
      <c r="X1461" s="68">
        <f t="shared" si="359"/>
        <v>0</v>
      </c>
      <c r="Y1461" s="68">
        <f t="shared" si="360"/>
        <v>0</v>
      </c>
      <c r="Z1461" s="68">
        <f t="shared" si="361"/>
        <v>0</v>
      </c>
      <c r="AA1461" s="68"/>
      <c r="AB1461" s="68">
        <v>0</v>
      </c>
      <c r="AC1461" s="69">
        <f t="shared" si="362"/>
        <v>0</v>
      </c>
      <c r="AD1461" s="70">
        <v>0</v>
      </c>
      <c r="AE1461" s="63">
        <v>40490</v>
      </c>
      <c r="AF1461" s="72"/>
      <c r="AG1461" s="63" t="s">
        <v>938</v>
      </c>
      <c r="AH1461" s="23" t="s">
        <v>939</v>
      </c>
      <c r="AI1461" s="60"/>
      <c r="AJ1461" s="124" t="s">
        <v>1608</v>
      </c>
      <c r="AK1461" s="121" t="s">
        <v>462</v>
      </c>
      <c r="AL1461" s="107"/>
      <c r="AM1461" s="108"/>
      <c r="AN1461" s="109"/>
      <c r="AO1461" s="108"/>
      <c r="AP1461" s="108"/>
      <c r="AQ1461" s="108"/>
      <c r="AR1461" s="108"/>
      <c r="AS1461" s="108"/>
      <c r="AT1461" s="108"/>
      <c r="AU1461" s="108"/>
      <c r="AV1461" s="108"/>
      <c r="AW1461" s="108"/>
      <c r="AX1461" s="108"/>
      <c r="AY1461" s="108"/>
      <c r="AZ1461" s="108"/>
      <c r="BA1461" s="108"/>
      <c r="BB1461" s="108"/>
      <c r="BC1461" s="108"/>
      <c r="BD1461" s="108"/>
      <c r="BE1461" s="108"/>
      <c r="BF1461" s="108"/>
      <c r="BG1461" s="108"/>
      <c r="BH1461" s="108"/>
      <c r="BI1461" s="108"/>
      <c r="BJ1461" s="108"/>
      <c r="BK1461" s="108"/>
      <c r="BL1461" s="108"/>
      <c r="BM1461" s="108"/>
      <c r="BN1461" s="108"/>
      <c r="BO1461" s="108"/>
      <c r="BP1461" s="108"/>
      <c r="BQ1461" s="108"/>
      <c r="BR1461" s="108"/>
      <c r="BS1461" s="108"/>
      <c r="BT1461" s="108"/>
      <c r="BU1461" s="108"/>
      <c r="BV1461" s="108"/>
      <c r="BW1461" s="108"/>
      <c r="BX1461" s="108"/>
      <c r="BY1461" s="108"/>
      <c r="BZ1461" s="108"/>
      <c r="CA1461" s="108"/>
      <c r="CB1461" s="108"/>
      <c r="CC1461" s="108"/>
      <c r="CD1461" s="108"/>
      <c r="CE1461" s="108"/>
      <c r="CF1461" s="108"/>
      <c r="CG1461" s="108"/>
      <c r="CH1461" s="108"/>
      <c r="CI1461" s="108"/>
      <c r="CJ1461" s="108"/>
      <c r="CK1461" s="108"/>
      <c r="CL1461" s="108"/>
      <c r="CM1461" s="108"/>
      <c r="CN1461" s="110"/>
      <c r="CO1461" s="111"/>
      <c r="CP1461" s="110"/>
      <c r="CQ1461" s="111"/>
      <c r="CR1461" s="110"/>
      <c r="CS1461" s="111"/>
      <c r="CT1461" s="112">
        <f t="shared" si="363"/>
        <v>0</v>
      </c>
      <c r="CU1461" s="113"/>
      <c r="CV1461" s="114"/>
      <c r="CW1461" s="115"/>
      <c r="CX1461" s="116"/>
      <c r="CY1461" s="117"/>
      <c r="CZ1461" s="116"/>
      <c r="DA1461" s="113"/>
      <c r="DB1461" s="114"/>
      <c r="DC1461" s="64"/>
      <c r="DD1461" s="118"/>
    </row>
    <row r="1462" spans="1:108" s="119" customFormat="1" ht="24" outlineLevel="2">
      <c r="A1462" s="178">
        <v>40488</v>
      </c>
      <c r="B1462" s="164" t="s">
        <v>905</v>
      </c>
      <c r="C1462" s="164" t="s">
        <v>844</v>
      </c>
      <c r="D1462" s="166" t="s">
        <v>1262</v>
      </c>
      <c r="E1462" s="163"/>
      <c r="F1462" s="105"/>
      <c r="G1462" s="105"/>
      <c r="H1462" s="105">
        <v>100</v>
      </c>
      <c r="I1462" s="105">
        <v>20</v>
      </c>
      <c r="J1462" s="105"/>
      <c r="K1462" s="105">
        <v>20</v>
      </c>
      <c r="L1462" s="105"/>
      <c r="M1462" s="105"/>
      <c r="N1462" s="105"/>
      <c r="O1462" s="105"/>
      <c r="P1462" s="105"/>
      <c r="Q1462" s="105"/>
      <c r="R1462" s="105"/>
      <c r="S1462" s="105"/>
      <c r="T1462" s="106"/>
      <c r="U1462" s="130"/>
      <c r="V1462" s="1"/>
      <c r="W1462" s="68">
        <f t="shared" si="358"/>
        <v>0</v>
      </c>
      <c r="X1462" s="68">
        <f t="shared" si="359"/>
        <v>0</v>
      </c>
      <c r="Y1462" s="68">
        <f t="shared" si="360"/>
        <v>0</v>
      </c>
      <c r="Z1462" s="68">
        <f t="shared" si="361"/>
        <v>0</v>
      </c>
      <c r="AA1462" s="68"/>
      <c r="AB1462" s="68">
        <v>0</v>
      </c>
      <c r="AC1462" s="69">
        <f t="shared" si="362"/>
        <v>0</v>
      </c>
      <c r="AD1462" s="70">
        <v>0</v>
      </c>
      <c r="AE1462" s="63">
        <v>40490</v>
      </c>
      <c r="AF1462" s="72"/>
      <c r="AG1462" s="63" t="s">
        <v>938</v>
      </c>
      <c r="AH1462" s="23" t="s">
        <v>939</v>
      </c>
      <c r="AI1462" s="60"/>
      <c r="AJ1462" s="124" t="s">
        <v>1608</v>
      </c>
      <c r="AK1462" s="121" t="s">
        <v>466</v>
      </c>
      <c r="AL1462" s="107"/>
      <c r="AM1462" s="108"/>
      <c r="AN1462" s="109"/>
      <c r="AO1462" s="108"/>
      <c r="AP1462" s="108"/>
      <c r="AQ1462" s="108"/>
      <c r="AR1462" s="108"/>
      <c r="AS1462" s="108"/>
      <c r="AT1462" s="108"/>
      <c r="AU1462" s="108"/>
      <c r="AV1462" s="108"/>
      <c r="AW1462" s="108"/>
      <c r="AX1462" s="108"/>
      <c r="AY1462" s="108"/>
      <c r="AZ1462" s="108"/>
      <c r="BA1462" s="108"/>
      <c r="BB1462" s="108"/>
      <c r="BC1462" s="108"/>
      <c r="BD1462" s="108"/>
      <c r="BE1462" s="108"/>
      <c r="BF1462" s="108"/>
      <c r="BG1462" s="108"/>
      <c r="BH1462" s="108"/>
      <c r="BI1462" s="108"/>
      <c r="BJ1462" s="108"/>
      <c r="BK1462" s="108"/>
      <c r="BL1462" s="108"/>
      <c r="BM1462" s="108"/>
      <c r="BN1462" s="108"/>
      <c r="BO1462" s="108"/>
      <c r="BP1462" s="108"/>
      <c r="BQ1462" s="108"/>
      <c r="BR1462" s="108"/>
      <c r="BS1462" s="108"/>
      <c r="BT1462" s="108"/>
      <c r="BU1462" s="108"/>
      <c r="BV1462" s="108"/>
      <c r="BW1462" s="108"/>
      <c r="BX1462" s="108"/>
      <c r="BY1462" s="108"/>
      <c r="BZ1462" s="108"/>
      <c r="CA1462" s="108"/>
      <c r="CB1462" s="108"/>
      <c r="CC1462" s="108"/>
      <c r="CD1462" s="108"/>
      <c r="CE1462" s="108"/>
      <c r="CF1462" s="108"/>
      <c r="CG1462" s="108"/>
      <c r="CH1462" s="108"/>
      <c r="CI1462" s="108"/>
      <c r="CJ1462" s="108"/>
      <c r="CK1462" s="108"/>
      <c r="CL1462" s="108"/>
      <c r="CM1462" s="108"/>
      <c r="CN1462" s="110"/>
      <c r="CO1462" s="111"/>
      <c r="CP1462" s="110"/>
      <c r="CQ1462" s="111"/>
      <c r="CR1462" s="110"/>
      <c r="CS1462" s="111"/>
      <c r="CT1462" s="112">
        <f t="shared" si="363"/>
        <v>0</v>
      </c>
      <c r="CU1462" s="113"/>
      <c r="CV1462" s="114"/>
      <c r="CW1462" s="115"/>
      <c r="CX1462" s="116"/>
      <c r="CY1462" s="117"/>
      <c r="CZ1462" s="116"/>
      <c r="DA1462" s="113"/>
      <c r="DB1462" s="114"/>
      <c r="DC1462" s="64"/>
      <c r="DD1462" s="118"/>
    </row>
    <row r="1463" spans="1:108" s="119" customFormat="1" ht="24" outlineLevel="2">
      <c r="A1463" s="178">
        <v>40488</v>
      </c>
      <c r="B1463" s="164" t="s">
        <v>905</v>
      </c>
      <c r="C1463" s="164" t="s">
        <v>548</v>
      </c>
      <c r="D1463" s="166" t="s">
        <v>1262</v>
      </c>
      <c r="E1463" s="163"/>
      <c r="F1463" s="105"/>
      <c r="G1463" s="105"/>
      <c r="H1463" s="105">
        <v>10</v>
      </c>
      <c r="I1463" s="105">
        <v>2</v>
      </c>
      <c r="J1463" s="105">
        <v>1</v>
      </c>
      <c r="K1463" s="105">
        <v>1</v>
      </c>
      <c r="L1463" s="105"/>
      <c r="M1463" s="105"/>
      <c r="N1463" s="105"/>
      <c r="O1463" s="105"/>
      <c r="P1463" s="105"/>
      <c r="Q1463" s="105"/>
      <c r="R1463" s="105"/>
      <c r="S1463" s="105"/>
      <c r="T1463" s="106"/>
      <c r="U1463" s="130"/>
      <c r="V1463" s="1"/>
      <c r="W1463" s="68">
        <f t="shared" si="358"/>
        <v>0</v>
      </c>
      <c r="X1463" s="68">
        <f t="shared" si="359"/>
        <v>0</v>
      </c>
      <c r="Y1463" s="68">
        <f t="shared" si="360"/>
        <v>0</v>
      </c>
      <c r="Z1463" s="68">
        <f t="shared" si="361"/>
        <v>0</v>
      </c>
      <c r="AA1463" s="68"/>
      <c r="AB1463" s="68">
        <v>0</v>
      </c>
      <c r="AC1463" s="69">
        <f t="shared" si="362"/>
        <v>0</v>
      </c>
      <c r="AD1463" s="70">
        <v>0</v>
      </c>
      <c r="AE1463" s="63">
        <v>40490</v>
      </c>
      <c r="AF1463" s="72"/>
      <c r="AG1463" s="63" t="s">
        <v>938</v>
      </c>
      <c r="AH1463" s="23" t="s">
        <v>939</v>
      </c>
      <c r="AI1463" s="60"/>
      <c r="AJ1463" s="124" t="s">
        <v>1608</v>
      </c>
      <c r="AK1463" s="121" t="s">
        <v>467</v>
      </c>
      <c r="AL1463" s="107"/>
      <c r="AM1463" s="108"/>
      <c r="AN1463" s="109"/>
      <c r="AO1463" s="108"/>
      <c r="AP1463" s="108"/>
      <c r="AQ1463" s="108"/>
      <c r="AR1463" s="108"/>
      <c r="AS1463" s="108"/>
      <c r="AT1463" s="108"/>
      <c r="AU1463" s="108"/>
      <c r="AV1463" s="108"/>
      <c r="AW1463" s="108"/>
      <c r="AX1463" s="108"/>
      <c r="AY1463" s="108"/>
      <c r="AZ1463" s="108"/>
      <c r="BA1463" s="108"/>
      <c r="BB1463" s="108"/>
      <c r="BC1463" s="108"/>
      <c r="BD1463" s="108"/>
      <c r="BE1463" s="108"/>
      <c r="BF1463" s="108"/>
      <c r="BG1463" s="108"/>
      <c r="BH1463" s="108"/>
      <c r="BI1463" s="108"/>
      <c r="BJ1463" s="108"/>
      <c r="BK1463" s="108"/>
      <c r="BL1463" s="108"/>
      <c r="BM1463" s="108"/>
      <c r="BN1463" s="108"/>
      <c r="BO1463" s="108"/>
      <c r="BP1463" s="108"/>
      <c r="BQ1463" s="108"/>
      <c r="BR1463" s="108"/>
      <c r="BS1463" s="108"/>
      <c r="BT1463" s="108"/>
      <c r="BU1463" s="108"/>
      <c r="BV1463" s="108"/>
      <c r="BW1463" s="108"/>
      <c r="BX1463" s="108"/>
      <c r="BY1463" s="108"/>
      <c r="BZ1463" s="108"/>
      <c r="CA1463" s="108"/>
      <c r="CB1463" s="108"/>
      <c r="CC1463" s="108"/>
      <c r="CD1463" s="108"/>
      <c r="CE1463" s="108"/>
      <c r="CF1463" s="108"/>
      <c r="CG1463" s="108"/>
      <c r="CH1463" s="108"/>
      <c r="CI1463" s="108"/>
      <c r="CJ1463" s="108"/>
      <c r="CK1463" s="108"/>
      <c r="CL1463" s="108"/>
      <c r="CM1463" s="108"/>
      <c r="CN1463" s="110"/>
      <c r="CO1463" s="111"/>
      <c r="CP1463" s="110"/>
      <c r="CQ1463" s="111"/>
      <c r="CR1463" s="110"/>
      <c r="CS1463" s="111"/>
      <c r="CT1463" s="112">
        <f t="shared" si="363"/>
        <v>0</v>
      </c>
      <c r="CU1463" s="113"/>
      <c r="CV1463" s="114"/>
      <c r="CW1463" s="115"/>
      <c r="CX1463" s="116"/>
      <c r="CY1463" s="117"/>
      <c r="CZ1463" s="116"/>
      <c r="DA1463" s="113"/>
      <c r="DB1463" s="114"/>
      <c r="DC1463" s="64"/>
      <c r="DD1463" s="118"/>
    </row>
    <row r="1464" spans="1:108" s="119" customFormat="1" ht="72" outlineLevel="2">
      <c r="A1464" s="178">
        <v>40492</v>
      </c>
      <c r="B1464" s="164" t="s">
        <v>905</v>
      </c>
      <c r="C1464" s="164" t="s">
        <v>906</v>
      </c>
      <c r="D1464" s="166" t="s">
        <v>1262</v>
      </c>
      <c r="E1464" s="163"/>
      <c r="F1464" s="105"/>
      <c r="G1464" s="105"/>
      <c r="H1464" s="105">
        <f>94*5</f>
        <v>470</v>
      </c>
      <c r="I1464" s="105">
        <f>86+8</f>
        <v>94</v>
      </c>
      <c r="J1464" s="105">
        <v>8</v>
      </c>
      <c r="K1464" s="105">
        <v>86</v>
      </c>
      <c r="L1464" s="105"/>
      <c r="M1464" s="105"/>
      <c r="N1464" s="105"/>
      <c r="O1464" s="105"/>
      <c r="P1464" s="105"/>
      <c r="Q1464" s="105"/>
      <c r="R1464" s="105"/>
      <c r="S1464" s="105"/>
      <c r="T1464" s="106"/>
      <c r="U1464" s="130"/>
      <c r="V1464" s="1"/>
      <c r="W1464" s="68">
        <f t="shared" si="358"/>
        <v>0</v>
      </c>
      <c r="X1464" s="68">
        <f t="shared" si="359"/>
        <v>0</v>
      </c>
      <c r="Y1464" s="68">
        <f t="shared" si="360"/>
        <v>0</v>
      </c>
      <c r="Z1464" s="68">
        <f t="shared" si="361"/>
        <v>0</v>
      </c>
      <c r="AA1464" s="68"/>
      <c r="AB1464" s="68">
        <v>0</v>
      </c>
      <c r="AC1464" s="69">
        <f t="shared" si="362"/>
        <v>0</v>
      </c>
      <c r="AD1464" s="70">
        <v>0</v>
      </c>
      <c r="AE1464" s="63">
        <v>40494</v>
      </c>
      <c r="AF1464" s="72"/>
      <c r="AG1464" s="63" t="s">
        <v>938</v>
      </c>
      <c r="AH1464" s="23" t="s">
        <v>939</v>
      </c>
      <c r="AI1464" s="60"/>
      <c r="AJ1464" s="124" t="s">
        <v>1608</v>
      </c>
      <c r="AK1464" s="121" t="s">
        <v>4</v>
      </c>
      <c r="AL1464" s="107"/>
      <c r="AM1464" s="108"/>
      <c r="AN1464" s="109"/>
      <c r="AO1464" s="108"/>
      <c r="AP1464" s="108"/>
      <c r="AQ1464" s="108"/>
      <c r="AR1464" s="108"/>
      <c r="AS1464" s="108"/>
      <c r="AT1464" s="108"/>
      <c r="AU1464" s="108"/>
      <c r="AV1464" s="108"/>
      <c r="AW1464" s="108"/>
      <c r="AX1464" s="108"/>
      <c r="AY1464" s="108"/>
      <c r="AZ1464" s="108"/>
      <c r="BA1464" s="108"/>
      <c r="BB1464" s="108"/>
      <c r="BC1464" s="108"/>
      <c r="BD1464" s="108"/>
      <c r="BE1464" s="108"/>
      <c r="BF1464" s="108"/>
      <c r="BG1464" s="108"/>
      <c r="BH1464" s="108"/>
      <c r="BI1464" s="108"/>
      <c r="BJ1464" s="108"/>
      <c r="BK1464" s="108"/>
      <c r="BL1464" s="108"/>
      <c r="BM1464" s="108"/>
      <c r="BN1464" s="108"/>
      <c r="BO1464" s="108"/>
      <c r="BP1464" s="108"/>
      <c r="BQ1464" s="108"/>
      <c r="BR1464" s="108"/>
      <c r="BS1464" s="108"/>
      <c r="BT1464" s="108"/>
      <c r="BU1464" s="108"/>
      <c r="BV1464" s="108"/>
      <c r="BW1464" s="108"/>
      <c r="BX1464" s="108"/>
      <c r="BY1464" s="108"/>
      <c r="BZ1464" s="108"/>
      <c r="CA1464" s="108"/>
      <c r="CB1464" s="108"/>
      <c r="CC1464" s="108"/>
      <c r="CD1464" s="108"/>
      <c r="CE1464" s="108"/>
      <c r="CF1464" s="108"/>
      <c r="CG1464" s="108"/>
      <c r="CH1464" s="108"/>
      <c r="CI1464" s="108"/>
      <c r="CJ1464" s="108"/>
      <c r="CK1464" s="108"/>
      <c r="CL1464" s="108"/>
      <c r="CM1464" s="108"/>
      <c r="CN1464" s="110"/>
      <c r="CO1464" s="111"/>
      <c r="CP1464" s="110"/>
      <c r="CQ1464" s="111"/>
      <c r="CR1464" s="110"/>
      <c r="CS1464" s="111"/>
      <c r="CT1464" s="112">
        <f t="shared" si="363"/>
        <v>0</v>
      </c>
      <c r="CU1464" s="113"/>
      <c r="CV1464" s="114"/>
      <c r="CW1464" s="115"/>
      <c r="CX1464" s="116"/>
      <c r="CY1464" s="117"/>
      <c r="CZ1464" s="116"/>
      <c r="DA1464" s="113"/>
      <c r="DB1464" s="114"/>
      <c r="DC1464" s="64"/>
      <c r="DD1464" s="118"/>
    </row>
    <row r="1465" spans="1:108" s="119" customFormat="1" ht="24" outlineLevel="2">
      <c r="A1465" s="178">
        <v>40493</v>
      </c>
      <c r="B1465" s="164" t="s">
        <v>905</v>
      </c>
      <c r="C1465" s="164" t="s">
        <v>1226</v>
      </c>
      <c r="D1465" s="166" t="s">
        <v>1262</v>
      </c>
      <c r="E1465" s="163"/>
      <c r="F1465" s="105"/>
      <c r="G1465" s="105"/>
      <c r="H1465" s="105">
        <v>15</v>
      </c>
      <c r="I1465" s="105">
        <v>3</v>
      </c>
      <c r="J1465" s="105"/>
      <c r="K1465" s="105">
        <v>3</v>
      </c>
      <c r="L1465" s="105"/>
      <c r="M1465" s="105"/>
      <c r="N1465" s="105"/>
      <c r="O1465" s="105"/>
      <c r="P1465" s="105"/>
      <c r="Q1465" s="105"/>
      <c r="R1465" s="105"/>
      <c r="S1465" s="105"/>
      <c r="T1465" s="106"/>
      <c r="U1465" s="130"/>
      <c r="V1465" s="1"/>
      <c r="W1465" s="68">
        <f t="shared" si="358"/>
        <v>0</v>
      </c>
      <c r="X1465" s="68">
        <f t="shared" si="359"/>
        <v>0</v>
      </c>
      <c r="Y1465" s="68">
        <f t="shared" si="360"/>
        <v>0</v>
      </c>
      <c r="Z1465" s="68">
        <f t="shared" si="361"/>
        <v>0</v>
      </c>
      <c r="AA1465" s="68"/>
      <c r="AB1465" s="68">
        <v>0</v>
      </c>
      <c r="AC1465" s="69">
        <f t="shared" si="362"/>
        <v>0</v>
      </c>
      <c r="AD1465" s="70">
        <v>0</v>
      </c>
      <c r="AE1465" s="63">
        <v>40494</v>
      </c>
      <c r="AF1465" s="72"/>
      <c r="AG1465" s="63" t="s">
        <v>938</v>
      </c>
      <c r="AH1465" s="23" t="s">
        <v>939</v>
      </c>
      <c r="AI1465" s="60"/>
      <c r="AJ1465" s="124" t="s">
        <v>1608</v>
      </c>
      <c r="AK1465" s="121" t="s">
        <v>613</v>
      </c>
      <c r="AL1465" s="107"/>
      <c r="AM1465" s="108"/>
      <c r="AN1465" s="109"/>
      <c r="AO1465" s="108"/>
      <c r="AP1465" s="108"/>
      <c r="AQ1465" s="108"/>
      <c r="AR1465" s="108"/>
      <c r="AS1465" s="108"/>
      <c r="AT1465" s="108"/>
      <c r="AU1465" s="108"/>
      <c r="AV1465" s="108"/>
      <c r="AW1465" s="108"/>
      <c r="AX1465" s="108"/>
      <c r="AY1465" s="108"/>
      <c r="AZ1465" s="108"/>
      <c r="BA1465" s="108"/>
      <c r="BB1465" s="108"/>
      <c r="BC1465" s="108"/>
      <c r="BD1465" s="108"/>
      <c r="BE1465" s="108"/>
      <c r="BF1465" s="108"/>
      <c r="BG1465" s="108"/>
      <c r="BH1465" s="108"/>
      <c r="BI1465" s="108"/>
      <c r="BJ1465" s="108"/>
      <c r="BK1465" s="108"/>
      <c r="BL1465" s="108"/>
      <c r="BM1465" s="108"/>
      <c r="BN1465" s="108"/>
      <c r="BO1465" s="108"/>
      <c r="BP1465" s="108"/>
      <c r="BQ1465" s="108"/>
      <c r="BR1465" s="108"/>
      <c r="BS1465" s="108"/>
      <c r="BT1465" s="108"/>
      <c r="BU1465" s="108"/>
      <c r="BV1465" s="108"/>
      <c r="BW1465" s="108"/>
      <c r="BX1465" s="108"/>
      <c r="BY1465" s="108"/>
      <c r="BZ1465" s="108"/>
      <c r="CA1465" s="108"/>
      <c r="CB1465" s="108"/>
      <c r="CC1465" s="108"/>
      <c r="CD1465" s="108"/>
      <c r="CE1465" s="108"/>
      <c r="CF1465" s="108"/>
      <c r="CG1465" s="108"/>
      <c r="CH1465" s="108"/>
      <c r="CI1465" s="108"/>
      <c r="CJ1465" s="108"/>
      <c r="CK1465" s="108"/>
      <c r="CL1465" s="108"/>
      <c r="CM1465" s="108"/>
      <c r="CN1465" s="110"/>
      <c r="CO1465" s="111"/>
      <c r="CP1465" s="110"/>
      <c r="CQ1465" s="111"/>
      <c r="CR1465" s="110"/>
      <c r="CS1465" s="111"/>
      <c r="CT1465" s="112">
        <f t="shared" si="363"/>
        <v>0</v>
      </c>
      <c r="CU1465" s="113"/>
      <c r="CV1465" s="114"/>
      <c r="CW1465" s="115"/>
      <c r="CX1465" s="116"/>
      <c r="CY1465" s="117"/>
      <c r="CZ1465" s="116"/>
      <c r="DA1465" s="113"/>
      <c r="DB1465" s="114"/>
      <c r="DC1465" s="64"/>
      <c r="DD1465" s="118"/>
    </row>
    <row r="1466" spans="1:108" s="119" customFormat="1" ht="24" outlineLevel="2">
      <c r="A1466" s="178">
        <v>40496</v>
      </c>
      <c r="B1466" s="164" t="s">
        <v>905</v>
      </c>
      <c r="C1466" s="164" t="s">
        <v>906</v>
      </c>
      <c r="D1466" s="165" t="s">
        <v>1182</v>
      </c>
      <c r="E1466" s="163"/>
      <c r="F1466" s="105"/>
      <c r="G1466" s="105"/>
      <c r="H1466" s="105">
        <v>55</v>
      </c>
      <c r="I1466" s="105">
        <v>11</v>
      </c>
      <c r="J1466" s="105"/>
      <c r="K1466" s="105">
        <v>11</v>
      </c>
      <c r="L1466" s="105"/>
      <c r="M1466" s="105"/>
      <c r="N1466" s="105"/>
      <c r="O1466" s="105"/>
      <c r="P1466" s="105"/>
      <c r="Q1466" s="105"/>
      <c r="R1466" s="105"/>
      <c r="S1466" s="105"/>
      <c r="T1466" s="106"/>
      <c r="U1466" s="130"/>
      <c r="V1466" s="1"/>
      <c r="W1466" s="68">
        <f t="shared" si="358"/>
        <v>0</v>
      </c>
      <c r="X1466" s="68">
        <f t="shared" si="359"/>
        <v>0</v>
      </c>
      <c r="Y1466" s="68">
        <f t="shared" si="360"/>
        <v>0</v>
      </c>
      <c r="Z1466" s="68">
        <f t="shared" si="361"/>
        <v>0</v>
      </c>
      <c r="AA1466" s="68"/>
      <c r="AB1466" s="68">
        <v>0</v>
      </c>
      <c r="AC1466" s="69">
        <f t="shared" si="362"/>
        <v>0</v>
      </c>
      <c r="AD1466" s="70">
        <v>0</v>
      </c>
      <c r="AE1466" s="63">
        <v>40497</v>
      </c>
      <c r="AF1466" s="72"/>
      <c r="AG1466" s="63" t="s">
        <v>938</v>
      </c>
      <c r="AH1466" s="23" t="s">
        <v>939</v>
      </c>
      <c r="AI1466" s="60"/>
      <c r="AJ1466" s="124" t="s">
        <v>1608</v>
      </c>
      <c r="AK1466" s="121" t="s">
        <v>32</v>
      </c>
      <c r="AL1466" s="107"/>
      <c r="AM1466" s="108"/>
      <c r="AN1466" s="109"/>
      <c r="AO1466" s="108"/>
      <c r="AP1466" s="108"/>
      <c r="AQ1466" s="108"/>
      <c r="AR1466" s="108"/>
      <c r="AS1466" s="108"/>
      <c r="AT1466" s="108"/>
      <c r="AU1466" s="108"/>
      <c r="AV1466" s="108"/>
      <c r="AW1466" s="108"/>
      <c r="AX1466" s="108"/>
      <c r="AY1466" s="108"/>
      <c r="AZ1466" s="108"/>
      <c r="BA1466" s="108"/>
      <c r="BB1466" s="108"/>
      <c r="BC1466" s="108"/>
      <c r="BD1466" s="108"/>
      <c r="BE1466" s="108"/>
      <c r="BF1466" s="108"/>
      <c r="BG1466" s="108"/>
      <c r="BH1466" s="108"/>
      <c r="BI1466" s="108"/>
      <c r="BJ1466" s="108"/>
      <c r="BK1466" s="108"/>
      <c r="BL1466" s="108"/>
      <c r="BM1466" s="108"/>
      <c r="BN1466" s="108"/>
      <c r="BO1466" s="108"/>
      <c r="BP1466" s="108"/>
      <c r="BQ1466" s="108"/>
      <c r="BR1466" s="108"/>
      <c r="BS1466" s="108"/>
      <c r="BT1466" s="108"/>
      <c r="BU1466" s="108"/>
      <c r="BV1466" s="108"/>
      <c r="BW1466" s="108"/>
      <c r="BX1466" s="108"/>
      <c r="BY1466" s="108"/>
      <c r="BZ1466" s="108"/>
      <c r="CA1466" s="108"/>
      <c r="CB1466" s="108"/>
      <c r="CC1466" s="108"/>
      <c r="CD1466" s="108"/>
      <c r="CE1466" s="108"/>
      <c r="CF1466" s="108"/>
      <c r="CG1466" s="108"/>
      <c r="CH1466" s="108"/>
      <c r="CI1466" s="108"/>
      <c r="CJ1466" s="108"/>
      <c r="CK1466" s="108"/>
      <c r="CL1466" s="108"/>
      <c r="CM1466" s="108"/>
      <c r="CN1466" s="110"/>
      <c r="CO1466" s="111"/>
      <c r="CP1466" s="110"/>
      <c r="CQ1466" s="111"/>
      <c r="CR1466" s="110"/>
      <c r="CS1466" s="111"/>
      <c r="CT1466" s="112">
        <f t="shared" si="363"/>
        <v>0</v>
      </c>
      <c r="CU1466" s="113"/>
      <c r="CV1466" s="114"/>
      <c r="CW1466" s="115"/>
      <c r="CX1466" s="116"/>
      <c r="CY1466" s="117"/>
      <c r="CZ1466" s="116"/>
      <c r="DA1466" s="113"/>
      <c r="DB1466" s="114"/>
      <c r="DC1466" s="64"/>
      <c r="DD1466" s="118"/>
    </row>
    <row r="1467" spans="1:108" s="119" customFormat="1" ht="36" outlineLevel="2">
      <c r="A1467" s="178">
        <v>40499</v>
      </c>
      <c r="B1467" s="164" t="s">
        <v>905</v>
      </c>
      <c r="C1467" s="164" t="s">
        <v>906</v>
      </c>
      <c r="D1467" s="165" t="s">
        <v>1182</v>
      </c>
      <c r="E1467" s="163"/>
      <c r="F1467" s="105"/>
      <c r="G1467" s="105"/>
      <c r="H1467" s="105">
        <v>25</v>
      </c>
      <c r="I1467" s="105">
        <v>5</v>
      </c>
      <c r="J1467" s="105">
        <v>5</v>
      </c>
      <c r="K1467" s="105"/>
      <c r="L1467" s="105"/>
      <c r="M1467" s="105"/>
      <c r="N1467" s="105"/>
      <c r="O1467" s="105"/>
      <c r="P1467" s="105"/>
      <c r="Q1467" s="105"/>
      <c r="R1467" s="105"/>
      <c r="S1467" s="105"/>
      <c r="T1467" s="106"/>
      <c r="U1467" s="130"/>
      <c r="V1467" s="1"/>
      <c r="W1467" s="68">
        <f t="shared" si="358"/>
        <v>0</v>
      </c>
      <c r="X1467" s="68">
        <f t="shared" si="359"/>
        <v>0</v>
      </c>
      <c r="Y1467" s="68">
        <f t="shared" si="360"/>
        <v>0</v>
      </c>
      <c r="Z1467" s="68">
        <f t="shared" si="361"/>
        <v>0</v>
      </c>
      <c r="AA1467" s="68"/>
      <c r="AB1467" s="68">
        <v>0</v>
      </c>
      <c r="AC1467" s="69">
        <f t="shared" si="362"/>
        <v>0</v>
      </c>
      <c r="AD1467" s="70">
        <v>0</v>
      </c>
      <c r="AE1467" s="63">
        <v>40504</v>
      </c>
      <c r="AF1467" s="72"/>
      <c r="AG1467" s="63" t="s">
        <v>938</v>
      </c>
      <c r="AH1467" s="23" t="s">
        <v>939</v>
      </c>
      <c r="AI1467" s="60"/>
      <c r="AJ1467" s="124" t="s">
        <v>1608</v>
      </c>
      <c r="AK1467" s="121" t="s">
        <v>623</v>
      </c>
      <c r="AL1467" s="107"/>
      <c r="AM1467" s="108"/>
      <c r="AN1467" s="109"/>
      <c r="AO1467" s="108"/>
      <c r="AP1467" s="108"/>
      <c r="AQ1467" s="108"/>
      <c r="AR1467" s="108"/>
      <c r="AS1467" s="108"/>
      <c r="AT1467" s="108"/>
      <c r="AU1467" s="108"/>
      <c r="AV1467" s="108"/>
      <c r="AW1467" s="108"/>
      <c r="AX1467" s="108"/>
      <c r="AY1467" s="108"/>
      <c r="AZ1467" s="108"/>
      <c r="BA1467" s="108"/>
      <c r="BB1467" s="108"/>
      <c r="BC1467" s="108"/>
      <c r="BD1467" s="108"/>
      <c r="BE1467" s="108"/>
      <c r="BF1467" s="108"/>
      <c r="BG1467" s="108"/>
      <c r="BH1467" s="108"/>
      <c r="BI1467" s="108"/>
      <c r="BJ1467" s="108"/>
      <c r="BK1467" s="108"/>
      <c r="BL1467" s="108"/>
      <c r="BM1467" s="108"/>
      <c r="BN1467" s="108"/>
      <c r="BO1467" s="108"/>
      <c r="BP1467" s="108"/>
      <c r="BQ1467" s="108"/>
      <c r="BR1467" s="108"/>
      <c r="BS1467" s="108"/>
      <c r="BT1467" s="108"/>
      <c r="BU1467" s="108"/>
      <c r="BV1467" s="108"/>
      <c r="BW1467" s="108"/>
      <c r="BX1467" s="108"/>
      <c r="BY1467" s="108"/>
      <c r="BZ1467" s="108"/>
      <c r="CA1467" s="108"/>
      <c r="CB1467" s="108"/>
      <c r="CC1467" s="108"/>
      <c r="CD1467" s="108"/>
      <c r="CE1467" s="108"/>
      <c r="CF1467" s="108"/>
      <c r="CG1467" s="108"/>
      <c r="CH1467" s="108"/>
      <c r="CI1467" s="108"/>
      <c r="CJ1467" s="108"/>
      <c r="CK1467" s="108"/>
      <c r="CL1467" s="108"/>
      <c r="CM1467" s="108"/>
      <c r="CN1467" s="110"/>
      <c r="CO1467" s="111"/>
      <c r="CP1467" s="110"/>
      <c r="CQ1467" s="111"/>
      <c r="CR1467" s="110"/>
      <c r="CS1467" s="111"/>
      <c r="CT1467" s="112">
        <f t="shared" si="363"/>
        <v>0</v>
      </c>
      <c r="CU1467" s="113"/>
      <c r="CV1467" s="114"/>
      <c r="CW1467" s="115"/>
      <c r="CX1467" s="116"/>
      <c r="CY1467" s="117"/>
      <c r="CZ1467" s="116"/>
      <c r="DA1467" s="113"/>
      <c r="DB1467" s="114"/>
      <c r="DC1467" s="64"/>
      <c r="DD1467" s="118"/>
    </row>
    <row r="1468" spans="1:108" s="119" customFormat="1" ht="24" outlineLevel="2">
      <c r="A1468" s="178">
        <v>40499</v>
      </c>
      <c r="B1468" s="164" t="s">
        <v>905</v>
      </c>
      <c r="C1468" s="164" t="s">
        <v>874</v>
      </c>
      <c r="D1468" s="166" t="s">
        <v>1262</v>
      </c>
      <c r="E1468" s="163"/>
      <c r="F1468" s="105"/>
      <c r="G1468" s="105"/>
      <c r="H1468" s="105"/>
      <c r="I1468" s="105">
        <v>5</v>
      </c>
      <c r="J1468" s="105">
        <v>1</v>
      </c>
      <c r="K1468" s="105">
        <v>1</v>
      </c>
      <c r="L1468" s="105"/>
      <c r="M1468" s="105"/>
      <c r="N1468" s="105"/>
      <c r="O1468" s="105"/>
      <c r="P1468" s="105"/>
      <c r="Q1468" s="105"/>
      <c r="R1468" s="105"/>
      <c r="S1468" s="105"/>
      <c r="T1468" s="106"/>
      <c r="U1468" s="130"/>
      <c r="V1468" s="1"/>
      <c r="W1468" s="68">
        <f t="shared" si="358"/>
        <v>0</v>
      </c>
      <c r="X1468" s="68">
        <f t="shared" si="359"/>
        <v>0</v>
      </c>
      <c r="Y1468" s="68">
        <f t="shared" si="360"/>
        <v>0</v>
      </c>
      <c r="Z1468" s="68">
        <f t="shared" si="361"/>
        <v>0</v>
      </c>
      <c r="AA1468" s="68"/>
      <c r="AB1468" s="68">
        <v>0</v>
      </c>
      <c r="AC1468" s="69">
        <f t="shared" si="362"/>
        <v>0</v>
      </c>
      <c r="AD1468" s="70">
        <v>0</v>
      </c>
      <c r="AE1468" s="63">
        <v>40504</v>
      </c>
      <c r="AF1468" s="72"/>
      <c r="AG1468" s="63" t="s">
        <v>938</v>
      </c>
      <c r="AH1468" s="23" t="s">
        <v>939</v>
      </c>
      <c r="AI1468" s="60"/>
      <c r="AJ1468" s="124" t="s">
        <v>1608</v>
      </c>
      <c r="AK1468" s="121" t="s">
        <v>80</v>
      </c>
      <c r="AL1468" s="107"/>
      <c r="AM1468" s="108"/>
      <c r="AN1468" s="109"/>
      <c r="AO1468" s="108"/>
      <c r="AP1468" s="108"/>
      <c r="AQ1468" s="108"/>
      <c r="AR1468" s="108"/>
      <c r="AS1468" s="108"/>
      <c r="AT1468" s="108"/>
      <c r="AU1468" s="108"/>
      <c r="AV1468" s="108"/>
      <c r="AW1468" s="108"/>
      <c r="AX1468" s="108"/>
      <c r="AY1468" s="108"/>
      <c r="AZ1468" s="108"/>
      <c r="BA1468" s="108"/>
      <c r="BB1468" s="108"/>
      <c r="BC1468" s="108"/>
      <c r="BD1468" s="108"/>
      <c r="BE1468" s="108"/>
      <c r="BF1468" s="108"/>
      <c r="BG1468" s="108"/>
      <c r="BH1468" s="108"/>
      <c r="BI1468" s="108"/>
      <c r="BJ1468" s="108"/>
      <c r="BK1468" s="108"/>
      <c r="BL1468" s="108"/>
      <c r="BM1468" s="108"/>
      <c r="BN1468" s="108"/>
      <c r="BO1468" s="108"/>
      <c r="BP1468" s="108"/>
      <c r="BQ1468" s="108"/>
      <c r="BR1468" s="108"/>
      <c r="BS1468" s="108"/>
      <c r="BT1468" s="108"/>
      <c r="BU1468" s="108"/>
      <c r="BV1468" s="108"/>
      <c r="BW1468" s="108"/>
      <c r="BX1468" s="108"/>
      <c r="BY1468" s="108"/>
      <c r="BZ1468" s="108"/>
      <c r="CA1468" s="108"/>
      <c r="CB1468" s="108"/>
      <c r="CC1468" s="108"/>
      <c r="CD1468" s="108"/>
      <c r="CE1468" s="108"/>
      <c r="CF1468" s="108"/>
      <c r="CG1468" s="108"/>
      <c r="CH1468" s="108"/>
      <c r="CI1468" s="108"/>
      <c r="CJ1468" s="108"/>
      <c r="CK1468" s="108"/>
      <c r="CL1468" s="108"/>
      <c r="CM1468" s="108"/>
      <c r="CN1468" s="110"/>
      <c r="CO1468" s="111"/>
      <c r="CP1468" s="110"/>
      <c r="CQ1468" s="111"/>
      <c r="CR1468" s="110"/>
      <c r="CS1468" s="111"/>
      <c r="CT1468" s="112">
        <f t="shared" si="363"/>
        <v>0</v>
      </c>
      <c r="CU1468" s="113"/>
      <c r="CV1468" s="114"/>
      <c r="CW1468" s="115"/>
      <c r="CX1468" s="116"/>
      <c r="CY1468" s="117"/>
      <c r="CZ1468" s="116"/>
      <c r="DA1468" s="113"/>
      <c r="DB1468" s="114"/>
      <c r="DC1468" s="64"/>
      <c r="DD1468" s="118"/>
    </row>
    <row r="1469" spans="1:108" s="119" customFormat="1" ht="24" outlineLevel="2">
      <c r="A1469" s="178">
        <v>40499</v>
      </c>
      <c r="B1469" s="164" t="s">
        <v>905</v>
      </c>
      <c r="C1469" s="164" t="s">
        <v>1891</v>
      </c>
      <c r="D1469" s="165" t="s">
        <v>1182</v>
      </c>
      <c r="E1469" s="163"/>
      <c r="F1469" s="105"/>
      <c r="G1469" s="105"/>
      <c r="H1469" s="105">
        <v>110</v>
      </c>
      <c r="I1469" s="105">
        <v>22</v>
      </c>
      <c r="J1469" s="105"/>
      <c r="K1469" s="105">
        <v>22</v>
      </c>
      <c r="L1469" s="105"/>
      <c r="M1469" s="105"/>
      <c r="N1469" s="105"/>
      <c r="O1469" s="105"/>
      <c r="P1469" s="105"/>
      <c r="Q1469" s="105"/>
      <c r="R1469" s="105"/>
      <c r="S1469" s="105"/>
      <c r="T1469" s="106"/>
      <c r="U1469" s="130"/>
      <c r="V1469" s="1"/>
      <c r="W1469" s="68">
        <f t="shared" si="358"/>
        <v>0</v>
      </c>
      <c r="X1469" s="68">
        <f t="shared" si="359"/>
        <v>0</v>
      </c>
      <c r="Y1469" s="68">
        <f t="shared" si="360"/>
        <v>0</v>
      </c>
      <c r="Z1469" s="68">
        <f t="shared" si="361"/>
        <v>0</v>
      </c>
      <c r="AA1469" s="68"/>
      <c r="AB1469" s="68">
        <v>0</v>
      </c>
      <c r="AC1469" s="69">
        <f t="shared" si="362"/>
        <v>0</v>
      </c>
      <c r="AD1469" s="70">
        <v>0</v>
      </c>
      <c r="AE1469" s="63">
        <v>40504</v>
      </c>
      <c r="AF1469" s="72"/>
      <c r="AG1469" s="63" t="s">
        <v>938</v>
      </c>
      <c r="AH1469" s="23" t="s">
        <v>939</v>
      </c>
      <c r="AI1469" s="60"/>
      <c r="AJ1469" s="124" t="s">
        <v>1608</v>
      </c>
      <c r="AK1469" s="121" t="s">
        <v>94</v>
      </c>
      <c r="AL1469" s="107"/>
      <c r="AM1469" s="108"/>
      <c r="AN1469" s="109"/>
      <c r="AO1469" s="108"/>
      <c r="AP1469" s="108"/>
      <c r="AQ1469" s="108"/>
      <c r="AR1469" s="108"/>
      <c r="AS1469" s="108"/>
      <c r="AT1469" s="108"/>
      <c r="AU1469" s="108"/>
      <c r="AV1469" s="108"/>
      <c r="AW1469" s="108"/>
      <c r="AX1469" s="108"/>
      <c r="AY1469" s="108"/>
      <c r="AZ1469" s="108"/>
      <c r="BA1469" s="108"/>
      <c r="BB1469" s="108"/>
      <c r="BC1469" s="108"/>
      <c r="BD1469" s="108"/>
      <c r="BE1469" s="108"/>
      <c r="BF1469" s="108"/>
      <c r="BG1469" s="108"/>
      <c r="BH1469" s="108"/>
      <c r="BI1469" s="108"/>
      <c r="BJ1469" s="108"/>
      <c r="BK1469" s="108"/>
      <c r="BL1469" s="108"/>
      <c r="BM1469" s="108"/>
      <c r="BN1469" s="108"/>
      <c r="BO1469" s="108"/>
      <c r="BP1469" s="108"/>
      <c r="BQ1469" s="108"/>
      <c r="BR1469" s="108"/>
      <c r="BS1469" s="108"/>
      <c r="BT1469" s="108"/>
      <c r="BU1469" s="108"/>
      <c r="BV1469" s="108"/>
      <c r="BW1469" s="108"/>
      <c r="BX1469" s="108"/>
      <c r="BY1469" s="108"/>
      <c r="BZ1469" s="108"/>
      <c r="CA1469" s="108"/>
      <c r="CB1469" s="108"/>
      <c r="CC1469" s="108"/>
      <c r="CD1469" s="108"/>
      <c r="CE1469" s="108"/>
      <c r="CF1469" s="108"/>
      <c r="CG1469" s="108"/>
      <c r="CH1469" s="108"/>
      <c r="CI1469" s="108"/>
      <c r="CJ1469" s="108"/>
      <c r="CK1469" s="108"/>
      <c r="CL1469" s="108"/>
      <c r="CM1469" s="108"/>
      <c r="CN1469" s="110"/>
      <c r="CO1469" s="111"/>
      <c r="CP1469" s="110"/>
      <c r="CQ1469" s="111"/>
      <c r="CR1469" s="110"/>
      <c r="CS1469" s="111"/>
      <c r="CT1469" s="112">
        <f t="shared" si="363"/>
        <v>0</v>
      </c>
      <c r="CU1469" s="113"/>
      <c r="CV1469" s="114"/>
      <c r="CW1469" s="115"/>
      <c r="CX1469" s="116"/>
      <c r="CY1469" s="117"/>
      <c r="CZ1469" s="116"/>
      <c r="DA1469" s="113"/>
      <c r="DB1469" s="114"/>
      <c r="DC1469" s="64"/>
      <c r="DD1469" s="118"/>
    </row>
    <row r="1470" spans="1:108" s="119" customFormat="1" ht="24" outlineLevel="2">
      <c r="A1470" s="178">
        <v>40503</v>
      </c>
      <c r="B1470" s="164" t="s">
        <v>905</v>
      </c>
      <c r="C1470" s="164" t="s">
        <v>1288</v>
      </c>
      <c r="D1470" s="165" t="s">
        <v>1182</v>
      </c>
      <c r="E1470" s="163"/>
      <c r="F1470" s="105"/>
      <c r="G1470" s="105"/>
      <c r="H1470" s="105"/>
      <c r="I1470" s="105"/>
      <c r="J1470" s="105"/>
      <c r="K1470" s="105"/>
      <c r="L1470" s="105"/>
      <c r="M1470" s="105"/>
      <c r="N1470" s="105"/>
      <c r="O1470" s="105"/>
      <c r="P1470" s="105"/>
      <c r="Q1470" s="105"/>
      <c r="R1470" s="105"/>
      <c r="S1470" s="105"/>
      <c r="T1470" s="106"/>
      <c r="U1470" s="130"/>
      <c r="V1470" s="1"/>
      <c r="W1470" s="68">
        <f t="shared" si="358"/>
        <v>0</v>
      </c>
      <c r="X1470" s="68">
        <f t="shared" si="359"/>
        <v>0</v>
      </c>
      <c r="Y1470" s="68">
        <f t="shared" si="360"/>
        <v>0</v>
      </c>
      <c r="Z1470" s="68">
        <f t="shared" si="361"/>
        <v>0</v>
      </c>
      <c r="AA1470" s="68"/>
      <c r="AB1470" s="68">
        <v>0</v>
      </c>
      <c r="AC1470" s="69">
        <f t="shared" si="362"/>
        <v>0</v>
      </c>
      <c r="AD1470" s="70">
        <v>0</v>
      </c>
      <c r="AE1470" s="63">
        <v>40504</v>
      </c>
      <c r="AF1470" s="72"/>
      <c r="AG1470" s="63" t="s">
        <v>938</v>
      </c>
      <c r="AH1470" s="23" t="s">
        <v>939</v>
      </c>
      <c r="AI1470" s="60"/>
      <c r="AJ1470" s="124" t="s">
        <v>1608</v>
      </c>
      <c r="AK1470" s="121" t="s">
        <v>676</v>
      </c>
      <c r="AL1470" s="107"/>
      <c r="AM1470" s="108"/>
      <c r="AN1470" s="109"/>
      <c r="AO1470" s="108"/>
      <c r="AP1470" s="108"/>
      <c r="AQ1470" s="108"/>
      <c r="AR1470" s="108"/>
      <c r="AS1470" s="108"/>
      <c r="AT1470" s="108"/>
      <c r="AU1470" s="108"/>
      <c r="AV1470" s="108"/>
      <c r="AW1470" s="108"/>
      <c r="AX1470" s="108"/>
      <c r="AY1470" s="108"/>
      <c r="AZ1470" s="108"/>
      <c r="BA1470" s="108"/>
      <c r="BB1470" s="108"/>
      <c r="BC1470" s="108"/>
      <c r="BD1470" s="108"/>
      <c r="BE1470" s="108"/>
      <c r="BF1470" s="108"/>
      <c r="BG1470" s="108"/>
      <c r="BH1470" s="108"/>
      <c r="BI1470" s="108"/>
      <c r="BJ1470" s="108"/>
      <c r="BK1470" s="108"/>
      <c r="BL1470" s="108"/>
      <c r="BM1470" s="108"/>
      <c r="BN1470" s="108"/>
      <c r="BO1470" s="108"/>
      <c r="BP1470" s="108"/>
      <c r="BQ1470" s="108"/>
      <c r="BR1470" s="108"/>
      <c r="BS1470" s="108"/>
      <c r="BT1470" s="108"/>
      <c r="BU1470" s="108"/>
      <c r="BV1470" s="108"/>
      <c r="BW1470" s="108"/>
      <c r="BX1470" s="108"/>
      <c r="BY1470" s="108"/>
      <c r="BZ1470" s="108"/>
      <c r="CA1470" s="108"/>
      <c r="CB1470" s="108"/>
      <c r="CC1470" s="108"/>
      <c r="CD1470" s="108"/>
      <c r="CE1470" s="108"/>
      <c r="CF1470" s="108"/>
      <c r="CG1470" s="108"/>
      <c r="CH1470" s="108"/>
      <c r="CI1470" s="108"/>
      <c r="CJ1470" s="108"/>
      <c r="CK1470" s="108"/>
      <c r="CL1470" s="108"/>
      <c r="CM1470" s="108"/>
      <c r="CN1470" s="110"/>
      <c r="CO1470" s="111"/>
      <c r="CP1470" s="110"/>
      <c r="CQ1470" s="111"/>
      <c r="CR1470" s="110"/>
      <c r="CS1470" s="111"/>
      <c r="CT1470" s="112">
        <f t="shared" si="363"/>
        <v>0</v>
      </c>
      <c r="CU1470" s="113"/>
      <c r="CV1470" s="114"/>
      <c r="CW1470" s="115"/>
      <c r="CX1470" s="116"/>
      <c r="CY1470" s="117"/>
      <c r="CZ1470" s="116"/>
      <c r="DA1470" s="113"/>
      <c r="DB1470" s="114"/>
      <c r="DC1470" s="64"/>
      <c r="DD1470" s="118"/>
    </row>
    <row r="1471" spans="1:108" s="119" customFormat="1" ht="24" outlineLevel="2">
      <c r="A1471" s="178">
        <v>40512</v>
      </c>
      <c r="B1471" s="164" t="s">
        <v>905</v>
      </c>
      <c r="C1471" s="164" t="s">
        <v>906</v>
      </c>
      <c r="D1471" s="166" t="s">
        <v>1262</v>
      </c>
      <c r="E1471" s="163"/>
      <c r="F1471" s="105"/>
      <c r="G1471" s="105"/>
      <c r="H1471" s="105">
        <v>15</v>
      </c>
      <c r="I1471" s="105">
        <v>3</v>
      </c>
      <c r="J1471" s="105"/>
      <c r="K1471" s="105">
        <v>3</v>
      </c>
      <c r="L1471" s="105"/>
      <c r="M1471" s="105"/>
      <c r="N1471" s="105"/>
      <c r="O1471" s="105"/>
      <c r="P1471" s="105"/>
      <c r="Q1471" s="105"/>
      <c r="R1471" s="105"/>
      <c r="S1471" s="105"/>
      <c r="T1471" s="106"/>
      <c r="U1471" s="130"/>
      <c r="V1471" s="1"/>
      <c r="W1471" s="68">
        <f t="shared" si="358"/>
        <v>0</v>
      </c>
      <c r="X1471" s="68">
        <f t="shared" si="359"/>
        <v>0</v>
      </c>
      <c r="Y1471" s="68">
        <f t="shared" si="360"/>
        <v>0</v>
      </c>
      <c r="Z1471" s="68">
        <f t="shared" si="361"/>
        <v>0</v>
      </c>
      <c r="AA1471" s="68"/>
      <c r="AB1471" s="68">
        <v>0</v>
      </c>
      <c r="AC1471" s="69">
        <f t="shared" si="362"/>
        <v>0</v>
      </c>
      <c r="AD1471" s="70">
        <v>0</v>
      </c>
      <c r="AE1471" s="63">
        <v>40513</v>
      </c>
      <c r="AF1471" s="72"/>
      <c r="AG1471" s="63" t="s">
        <v>938</v>
      </c>
      <c r="AH1471" s="23" t="s">
        <v>939</v>
      </c>
      <c r="AI1471" s="60"/>
      <c r="AJ1471" s="124" t="s">
        <v>1608</v>
      </c>
      <c r="AK1471" s="121" t="s">
        <v>2111</v>
      </c>
      <c r="AL1471" s="107"/>
      <c r="AM1471" s="108"/>
      <c r="AN1471" s="109"/>
      <c r="AO1471" s="108"/>
      <c r="AP1471" s="108"/>
      <c r="AQ1471" s="108"/>
      <c r="AR1471" s="108"/>
      <c r="AS1471" s="108"/>
      <c r="AT1471" s="108"/>
      <c r="AU1471" s="108"/>
      <c r="AV1471" s="108"/>
      <c r="AW1471" s="108"/>
      <c r="AX1471" s="108"/>
      <c r="AY1471" s="108"/>
      <c r="AZ1471" s="108"/>
      <c r="BA1471" s="108"/>
      <c r="BB1471" s="108"/>
      <c r="BC1471" s="108"/>
      <c r="BD1471" s="108"/>
      <c r="BE1471" s="108"/>
      <c r="BF1471" s="108"/>
      <c r="BG1471" s="108"/>
      <c r="BH1471" s="108"/>
      <c r="BI1471" s="108"/>
      <c r="BJ1471" s="108"/>
      <c r="BK1471" s="108"/>
      <c r="BL1471" s="108"/>
      <c r="BM1471" s="108"/>
      <c r="BN1471" s="108"/>
      <c r="BO1471" s="108"/>
      <c r="BP1471" s="108"/>
      <c r="BQ1471" s="108"/>
      <c r="BR1471" s="108"/>
      <c r="BS1471" s="108"/>
      <c r="BT1471" s="108"/>
      <c r="BU1471" s="108"/>
      <c r="BV1471" s="108"/>
      <c r="BW1471" s="108"/>
      <c r="BX1471" s="108"/>
      <c r="BY1471" s="108"/>
      <c r="BZ1471" s="108"/>
      <c r="CA1471" s="108"/>
      <c r="CB1471" s="108"/>
      <c r="CC1471" s="108"/>
      <c r="CD1471" s="108"/>
      <c r="CE1471" s="108"/>
      <c r="CF1471" s="108"/>
      <c r="CG1471" s="108"/>
      <c r="CH1471" s="108"/>
      <c r="CI1471" s="108"/>
      <c r="CJ1471" s="108"/>
      <c r="CK1471" s="108"/>
      <c r="CL1471" s="108"/>
      <c r="CM1471" s="108"/>
      <c r="CN1471" s="110"/>
      <c r="CO1471" s="111"/>
      <c r="CP1471" s="110"/>
      <c r="CQ1471" s="111"/>
      <c r="CR1471" s="110"/>
      <c r="CS1471" s="111"/>
      <c r="CT1471" s="112">
        <f t="shared" si="363"/>
        <v>0</v>
      </c>
      <c r="CU1471" s="113"/>
      <c r="CV1471" s="114"/>
      <c r="CW1471" s="115"/>
      <c r="CX1471" s="116"/>
      <c r="CY1471" s="117"/>
      <c r="CZ1471" s="116"/>
      <c r="DA1471" s="113"/>
      <c r="DB1471" s="114"/>
      <c r="DC1471" s="64"/>
      <c r="DD1471" s="118"/>
    </row>
    <row r="1472" spans="1:108" s="119" customFormat="1" outlineLevel="2">
      <c r="A1472" s="178">
        <v>40514</v>
      </c>
      <c r="B1472" s="164" t="s">
        <v>905</v>
      </c>
      <c r="C1472" s="164" t="s">
        <v>2374</v>
      </c>
      <c r="D1472" s="166" t="s">
        <v>1182</v>
      </c>
      <c r="E1472" s="163">
        <v>2</v>
      </c>
      <c r="F1472" s="105">
        <v>1</v>
      </c>
      <c r="G1472" s="105"/>
      <c r="H1472" s="105">
        <v>10</v>
      </c>
      <c r="I1472" s="105">
        <v>2</v>
      </c>
      <c r="J1472" s="105">
        <v>2</v>
      </c>
      <c r="K1472" s="105"/>
      <c r="L1472" s="105"/>
      <c r="M1472" s="105"/>
      <c r="N1472" s="105"/>
      <c r="O1472" s="105"/>
      <c r="P1472" s="105"/>
      <c r="Q1472" s="105"/>
      <c r="R1472" s="105"/>
      <c r="S1472" s="105"/>
      <c r="T1472" s="106"/>
      <c r="U1472" s="130"/>
      <c r="V1472" s="1"/>
      <c r="W1472" s="68">
        <f t="shared" si="358"/>
        <v>0</v>
      </c>
      <c r="X1472" s="68">
        <f t="shared" si="359"/>
        <v>0</v>
      </c>
      <c r="Y1472" s="68">
        <f t="shared" si="360"/>
        <v>0</v>
      </c>
      <c r="Z1472" s="68">
        <f t="shared" si="361"/>
        <v>0</v>
      </c>
      <c r="AA1472" s="68"/>
      <c r="AB1472" s="68">
        <v>0</v>
      </c>
      <c r="AC1472" s="69">
        <f t="shared" ref="AC1472:AC1475" si="364">W1472+X1472+Y1472+Z1472+AA1472+AB1472</f>
        <v>0</v>
      </c>
      <c r="AD1472" s="70">
        <v>0</v>
      </c>
      <c r="AE1472" s="63"/>
      <c r="AF1472" s="72"/>
      <c r="AG1472" s="63"/>
      <c r="AH1472" s="23"/>
      <c r="AI1472" s="60"/>
      <c r="AJ1472" s="124"/>
      <c r="AK1472" s="121" t="s">
        <v>2133</v>
      </c>
      <c r="AL1472" s="107"/>
      <c r="AM1472" s="108"/>
      <c r="AN1472" s="109"/>
      <c r="AO1472" s="108"/>
      <c r="AP1472" s="108"/>
      <c r="AQ1472" s="108"/>
      <c r="AR1472" s="108"/>
      <c r="AS1472" s="108"/>
      <c r="AT1472" s="108"/>
      <c r="AU1472" s="108"/>
      <c r="AV1472" s="108"/>
      <c r="AW1472" s="108"/>
      <c r="AX1472" s="108"/>
      <c r="AY1472" s="108"/>
      <c r="AZ1472" s="108"/>
      <c r="BA1472" s="108"/>
      <c r="BB1472" s="108"/>
      <c r="BC1472" s="108"/>
      <c r="BD1472" s="108"/>
      <c r="BE1472" s="108"/>
      <c r="BF1472" s="108"/>
      <c r="BG1472" s="108"/>
      <c r="BH1472" s="108"/>
      <c r="BI1472" s="108"/>
      <c r="BJ1472" s="108"/>
      <c r="BK1472" s="108"/>
      <c r="BL1472" s="108"/>
      <c r="BM1472" s="108"/>
      <c r="BN1472" s="108"/>
      <c r="BO1472" s="108"/>
      <c r="BP1472" s="108"/>
      <c r="BQ1472" s="108"/>
      <c r="BR1472" s="108"/>
      <c r="BS1472" s="108"/>
      <c r="BT1472" s="108"/>
      <c r="BU1472" s="108"/>
      <c r="BV1472" s="108"/>
      <c r="BW1472" s="108"/>
      <c r="BX1472" s="108"/>
      <c r="BY1472" s="108"/>
      <c r="BZ1472" s="108"/>
      <c r="CA1472" s="108"/>
      <c r="CB1472" s="108"/>
      <c r="CC1472" s="108"/>
      <c r="CD1472" s="108"/>
      <c r="CE1472" s="108"/>
      <c r="CF1472" s="108"/>
      <c r="CG1472" s="108"/>
      <c r="CH1472" s="108"/>
      <c r="CI1472" s="108"/>
      <c r="CJ1472" s="108"/>
      <c r="CK1472" s="108"/>
      <c r="CL1472" s="108"/>
      <c r="CM1472" s="108"/>
      <c r="CN1472" s="110"/>
      <c r="CO1472" s="111"/>
      <c r="CP1472" s="110"/>
      <c r="CQ1472" s="111"/>
      <c r="CR1472" s="110"/>
      <c r="CS1472" s="111"/>
      <c r="CT1472" s="112">
        <f t="shared" ref="CT1472:CT1475" si="365">AM1472+AO1472+AQ1472+AS1472+AU1472+AW1472+AY1472+BA1472+BC1472+BE1472+BG1472+BI1472+BK1472+BM1472+BO1472+BQ1472+BS1472+BU1472+BW1472+BY1472+CA1472+CC1472+CE1472+CG1472+CI1472+CK1472+CM1472+CO1472+CQ1472+CS1472</f>
        <v>0</v>
      </c>
      <c r="CU1472" s="113"/>
      <c r="CV1472" s="114"/>
      <c r="CW1472" s="115"/>
      <c r="CX1472" s="116"/>
      <c r="CY1472" s="117"/>
      <c r="CZ1472" s="116"/>
      <c r="DA1472" s="113"/>
      <c r="DB1472" s="114"/>
      <c r="DC1472" s="64"/>
      <c r="DD1472" s="118"/>
    </row>
    <row r="1473" spans="1:108" s="119" customFormat="1" ht="36" outlineLevel="2">
      <c r="A1473" s="178">
        <v>40515</v>
      </c>
      <c r="B1473" s="164" t="s">
        <v>905</v>
      </c>
      <c r="C1473" s="164" t="s">
        <v>906</v>
      </c>
      <c r="D1473" s="166" t="s">
        <v>1262</v>
      </c>
      <c r="E1473" s="163"/>
      <c r="F1473" s="105">
        <v>2</v>
      </c>
      <c r="G1473" s="105"/>
      <c r="H1473" s="105">
        <v>10</v>
      </c>
      <c r="I1473" s="105">
        <v>2</v>
      </c>
      <c r="J1473" s="105"/>
      <c r="K1473" s="105">
        <v>2</v>
      </c>
      <c r="L1473" s="105"/>
      <c r="M1473" s="105"/>
      <c r="N1473" s="105"/>
      <c r="O1473" s="105"/>
      <c r="P1473" s="105"/>
      <c r="Q1473" s="105"/>
      <c r="R1473" s="105"/>
      <c r="S1473" s="105"/>
      <c r="T1473" s="106"/>
      <c r="U1473" s="130"/>
      <c r="V1473" s="1"/>
      <c r="W1473" s="68">
        <f t="shared" si="358"/>
        <v>0</v>
      </c>
      <c r="X1473" s="68">
        <f t="shared" si="359"/>
        <v>0</v>
      </c>
      <c r="Y1473" s="68">
        <f t="shared" si="360"/>
        <v>0</v>
      </c>
      <c r="Z1473" s="68">
        <f t="shared" si="361"/>
        <v>0</v>
      </c>
      <c r="AA1473" s="68"/>
      <c r="AB1473" s="68">
        <v>0</v>
      </c>
      <c r="AC1473" s="69">
        <f t="shared" si="364"/>
        <v>0</v>
      </c>
      <c r="AD1473" s="70">
        <v>0</v>
      </c>
      <c r="AE1473" s="63"/>
      <c r="AF1473" s="72"/>
      <c r="AG1473" s="63"/>
      <c r="AH1473" s="23"/>
      <c r="AI1473" s="60"/>
      <c r="AJ1473" s="124"/>
      <c r="AK1473" s="121" t="s">
        <v>2196</v>
      </c>
      <c r="AL1473" s="107"/>
      <c r="AM1473" s="108"/>
      <c r="AN1473" s="109"/>
      <c r="AO1473" s="108"/>
      <c r="AP1473" s="108"/>
      <c r="AQ1473" s="108"/>
      <c r="AR1473" s="108"/>
      <c r="AS1473" s="108"/>
      <c r="AT1473" s="108"/>
      <c r="AU1473" s="108"/>
      <c r="AV1473" s="108"/>
      <c r="AW1473" s="108"/>
      <c r="AX1473" s="108"/>
      <c r="AY1473" s="108"/>
      <c r="AZ1473" s="108"/>
      <c r="BA1473" s="108"/>
      <c r="BB1473" s="108"/>
      <c r="BC1473" s="108"/>
      <c r="BD1473" s="108"/>
      <c r="BE1473" s="108"/>
      <c r="BF1473" s="108"/>
      <c r="BG1473" s="108"/>
      <c r="BH1473" s="108"/>
      <c r="BI1473" s="108"/>
      <c r="BJ1473" s="108"/>
      <c r="BK1473" s="108"/>
      <c r="BL1473" s="108"/>
      <c r="BM1473" s="108"/>
      <c r="BN1473" s="108"/>
      <c r="BO1473" s="108"/>
      <c r="BP1473" s="108"/>
      <c r="BQ1473" s="108"/>
      <c r="BR1473" s="108"/>
      <c r="BS1473" s="108"/>
      <c r="BT1473" s="108"/>
      <c r="BU1473" s="108"/>
      <c r="BV1473" s="108"/>
      <c r="BW1473" s="108"/>
      <c r="BX1473" s="108"/>
      <c r="BY1473" s="108"/>
      <c r="BZ1473" s="108"/>
      <c r="CA1473" s="108"/>
      <c r="CB1473" s="108"/>
      <c r="CC1473" s="108"/>
      <c r="CD1473" s="108"/>
      <c r="CE1473" s="108"/>
      <c r="CF1473" s="108"/>
      <c r="CG1473" s="108"/>
      <c r="CH1473" s="108"/>
      <c r="CI1473" s="108"/>
      <c r="CJ1473" s="108"/>
      <c r="CK1473" s="108"/>
      <c r="CL1473" s="108"/>
      <c r="CM1473" s="108"/>
      <c r="CN1473" s="110"/>
      <c r="CO1473" s="111"/>
      <c r="CP1473" s="110"/>
      <c r="CQ1473" s="111"/>
      <c r="CR1473" s="110"/>
      <c r="CS1473" s="111"/>
      <c r="CT1473" s="112">
        <f t="shared" si="365"/>
        <v>0</v>
      </c>
      <c r="CU1473" s="113"/>
      <c r="CV1473" s="114"/>
      <c r="CW1473" s="115"/>
      <c r="CX1473" s="116"/>
      <c r="CY1473" s="117"/>
      <c r="CZ1473" s="116"/>
      <c r="DA1473" s="113"/>
      <c r="DB1473" s="114"/>
      <c r="DC1473" s="64"/>
      <c r="DD1473" s="118"/>
    </row>
    <row r="1474" spans="1:108" s="119" customFormat="1" ht="24" outlineLevel="2">
      <c r="A1474" s="178">
        <v>40516</v>
      </c>
      <c r="B1474" s="164" t="s">
        <v>905</v>
      </c>
      <c r="C1474" s="164" t="s">
        <v>109</v>
      </c>
      <c r="D1474" s="166" t="s">
        <v>1182</v>
      </c>
      <c r="E1474" s="163"/>
      <c r="F1474" s="105"/>
      <c r="G1474" s="105"/>
      <c r="H1474" s="105">
        <v>5</v>
      </c>
      <c r="I1474" s="105">
        <v>1</v>
      </c>
      <c r="J1474" s="105"/>
      <c r="K1474" s="105">
        <v>1</v>
      </c>
      <c r="L1474" s="105"/>
      <c r="M1474" s="105"/>
      <c r="N1474" s="105"/>
      <c r="O1474" s="105"/>
      <c r="P1474" s="105"/>
      <c r="Q1474" s="105"/>
      <c r="R1474" s="105"/>
      <c r="S1474" s="105"/>
      <c r="T1474" s="106"/>
      <c r="U1474" s="130"/>
      <c r="V1474" s="1"/>
      <c r="W1474" s="68">
        <f t="shared" si="358"/>
        <v>0</v>
      </c>
      <c r="X1474" s="68">
        <f t="shared" si="359"/>
        <v>0</v>
      </c>
      <c r="Y1474" s="68">
        <f t="shared" si="360"/>
        <v>0</v>
      </c>
      <c r="Z1474" s="68">
        <f t="shared" si="361"/>
        <v>0</v>
      </c>
      <c r="AA1474" s="68"/>
      <c r="AB1474" s="68">
        <v>0</v>
      </c>
      <c r="AC1474" s="69">
        <f t="shared" si="364"/>
        <v>0</v>
      </c>
      <c r="AD1474" s="70">
        <v>0</v>
      </c>
      <c r="AE1474" s="63"/>
      <c r="AF1474" s="72"/>
      <c r="AG1474" s="63"/>
      <c r="AH1474" s="23"/>
      <c r="AI1474" s="60"/>
      <c r="AJ1474" s="124"/>
      <c r="AK1474" s="121" t="s">
        <v>110</v>
      </c>
      <c r="AL1474" s="107"/>
      <c r="AM1474" s="108"/>
      <c r="AN1474" s="109"/>
      <c r="AO1474" s="108"/>
      <c r="AP1474" s="108"/>
      <c r="AQ1474" s="108"/>
      <c r="AR1474" s="108"/>
      <c r="AS1474" s="108"/>
      <c r="AT1474" s="108"/>
      <c r="AU1474" s="108"/>
      <c r="AV1474" s="108"/>
      <c r="AW1474" s="108"/>
      <c r="AX1474" s="108"/>
      <c r="AY1474" s="108"/>
      <c r="AZ1474" s="108"/>
      <c r="BA1474" s="108"/>
      <c r="BB1474" s="108"/>
      <c r="BC1474" s="108"/>
      <c r="BD1474" s="108"/>
      <c r="BE1474" s="108"/>
      <c r="BF1474" s="108"/>
      <c r="BG1474" s="108"/>
      <c r="BH1474" s="108"/>
      <c r="BI1474" s="108"/>
      <c r="BJ1474" s="108"/>
      <c r="BK1474" s="108"/>
      <c r="BL1474" s="108"/>
      <c r="BM1474" s="108"/>
      <c r="BN1474" s="108"/>
      <c r="BO1474" s="108"/>
      <c r="BP1474" s="108"/>
      <c r="BQ1474" s="108"/>
      <c r="BR1474" s="108"/>
      <c r="BS1474" s="108"/>
      <c r="BT1474" s="108"/>
      <c r="BU1474" s="108"/>
      <c r="BV1474" s="108"/>
      <c r="BW1474" s="108"/>
      <c r="BX1474" s="108"/>
      <c r="BY1474" s="108"/>
      <c r="BZ1474" s="108"/>
      <c r="CA1474" s="108"/>
      <c r="CB1474" s="108"/>
      <c r="CC1474" s="108"/>
      <c r="CD1474" s="108"/>
      <c r="CE1474" s="108"/>
      <c r="CF1474" s="108"/>
      <c r="CG1474" s="108"/>
      <c r="CH1474" s="108"/>
      <c r="CI1474" s="108"/>
      <c r="CJ1474" s="108"/>
      <c r="CK1474" s="108"/>
      <c r="CL1474" s="108"/>
      <c r="CM1474" s="108"/>
      <c r="CN1474" s="110"/>
      <c r="CO1474" s="111"/>
      <c r="CP1474" s="110"/>
      <c r="CQ1474" s="111"/>
      <c r="CR1474" s="110"/>
      <c r="CS1474" s="111"/>
      <c r="CT1474" s="112">
        <f t="shared" si="365"/>
        <v>0</v>
      </c>
      <c r="CU1474" s="113"/>
      <c r="CV1474" s="114"/>
      <c r="CW1474" s="115"/>
      <c r="CX1474" s="116"/>
      <c r="CY1474" s="117"/>
      <c r="CZ1474" s="116"/>
      <c r="DA1474" s="113"/>
      <c r="DB1474" s="114"/>
      <c r="DC1474" s="64"/>
      <c r="DD1474" s="118"/>
    </row>
    <row r="1475" spans="1:108" s="119" customFormat="1" ht="24" outlineLevel="2">
      <c r="A1475" s="178">
        <v>40525</v>
      </c>
      <c r="B1475" s="164" t="s">
        <v>905</v>
      </c>
      <c r="C1475" s="164" t="s">
        <v>1891</v>
      </c>
      <c r="D1475" s="166" t="s">
        <v>435</v>
      </c>
      <c r="E1475" s="163"/>
      <c r="F1475" s="105"/>
      <c r="G1475" s="105"/>
      <c r="H1475" s="105">
        <v>42</v>
      </c>
      <c r="I1475" s="105">
        <v>15</v>
      </c>
      <c r="J1475" s="105"/>
      <c r="K1475" s="105">
        <v>15</v>
      </c>
      <c r="L1475" s="105"/>
      <c r="M1475" s="105"/>
      <c r="N1475" s="105"/>
      <c r="O1475" s="105"/>
      <c r="P1475" s="105"/>
      <c r="Q1475" s="105"/>
      <c r="R1475" s="105"/>
      <c r="S1475" s="105"/>
      <c r="T1475" s="106"/>
      <c r="U1475" s="130"/>
      <c r="V1475" s="1"/>
      <c r="W1475" s="68">
        <f t="shared" si="358"/>
        <v>0</v>
      </c>
      <c r="X1475" s="68">
        <f t="shared" si="359"/>
        <v>0</v>
      </c>
      <c r="Y1475" s="68">
        <f t="shared" si="360"/>
        <v>0</v>
      </c>
      <c r="Z1475" s="68">
        <f t="shared" si="361"/>
        <v>0</v>
      </c>
      <c r="AA1475" s="68"/>
      <c r="AB1475" s="68">
        <v>0</v>
      </c>
      <c r="AC1475" s="69">
        <f t="shared" si="364"/>
        <v>0</v>
      </c>
      <c r="AD1475" s="70">
        <v>0</v>
      </c>
      <c r="AE1475" s="63"/>
      <c r="AF1475" s="72"/>
      <c r="AG1475" s="63"/>
      <c r="AH1475" s="23"/>
      <c r="AI1475" s="60"/>
      <c r="AJ1475" s="124"/>
      <c r="AK1475" s="121" t="s">
        <v>2428</v>
      </c>
      <c r="AL1475" s="107"/>
      <c r="AM1475" s="108"/>
      <c r="AN1475" s="109"/>
      <c r="AO1475" s="108"/>
      <c r="AP1475" s="108"/>
      <c r="AQ1475" s="108"/>
      <c r="AR1475" s="108"/>
      <c r="AS1475" s="108"/>
      <c r="AT1475" s="108"/>
      <c r="AU1475" s="108"/>
      <c r="AV1475" s="108"/>
      <c r="AW1475" s="108"/>
      <c r="AX1475" s="108"/>
      <c r="AY1475" s="108"/>
      <c r="AZ1475" s="108"/>
      <c r="BA1475" s="108"/>
      <c r="BB1475" s="108"/>
      <c r="BC1475" s="108"/>
      <c r="BD1475" s="108"/>
      <c r="BE1475" s="108"/>
      <c r="BF1475" s="108"/>
      <c r="BG1475" s="108"/>
      <c r="BH1475" s="108"/>
      <c r="BI1475" s="108"/>
      <c r="BJ1475" s="108"/>
      <c r="BK1475" s="108"/>
      <c r="BL1475" s="108"/>
      <c r="BM1475" s="108"/>
      <c r="BN1475" s="108"/>
      <c r="BO1475" s="108"/>
      <c r="BP1475" s="108"/>
      <c r="BQ1475" s="108"/>
      <c r="BR1475" s="108"/>
      <c r="BS1475" s="108"/>
      <c r="BT1475" s="108"/>
      <c r="BU1475" s="108"/>
      <c r="BV1475" s="108"/>
      <c r="BW1475" s="108"/>
      <c r="BX1475" s="108"/>
      <c r="BY1475" s="108"/>
      <c r="BZ1475" s="108"/>
      <c r="CA1475" s="108"/>
      <c r="CB1475" s="108"/>
      <c r="CC1475" s="108"/>
      <c r="CD1475" s="108"/>
      <c r="CE1475" s="108"/>
      <c r="CF1475" s="108"/>
      <c r="CG1475" s="108"/>
      <c r="CH1475" s="108"/>
      <c r="CI1475" s="108"/>
      <c r="CJ1475" s="108"/>
      <c r="CK1475" s="108"/>
      <c r="CL1475" s="108"/>
      <c r="CM1475" s="108"/>
      <c r="CN1475" s="110"/>
      <c r="CO1475" s="111"/>
      <c r="CP1475" s="110"/>
      <c r="CQ1475" s="111"/>
      <c r="CR1475" s="110"/>
      <c r="CS1475" s="111"/>
      <c r="CT1475" s="112">
        <f t="shared" si="365"/>
        <v>0</v>
      </c>
      <c r="CU1475" s="113"/>
      <c r="CV1475" s="114"/>
      <c r="CW1475" s="115"/>
      <c r="CX1475" s="116"/>
      <c r="CY1475" s="117"/>
      <c r="CZ1475" s="116"/>
      <c r="DA1475" s="113"/>
      <c r="DB1475" s="114"/>
      <c r="DC1475" s="64"/>
      <c r="DD1475" s="118"/>
    </row>
    <row r="1476" spans="1:108" s="119" customFormat="1" outlineLevel="1">
      <c r="A1476" s="178"/>
      <c r="B1476" s="192" t="s">
        <v>2464</v>
      </c>
      <c r="C1476" s="164"/>
      <c r="D1476" s="166"/>
      <c r="E1476" s="163">
        <f t="shared" ref="E1476:T1476" si="366">SUBTOTAL(9,E1408:E1475)</f>
        <v>9</v>
      </c>
      <c r="F1476" s="105">
        <f t="shared" si="366"/>
        <v>4</v>
      </c>
      <c r="G1476" s="105">
        <f t="shared" si="366"/>
        <v>1</v>
      </c>
      <c r="H1476" s="105">
        <f t="shared" si="366"/>
        <v>15523</v>
      </c>
      <c r="I1476" s="105">
        <f t="shared" si="366"/>
        <v>3350</v>
      </c>
      <c r="J1476" s="105">
        <f t="shared" si="366"/>
        <v>129</v>
      </c>
      <c r="K1476" s="105">
        <f t="shared" si="366"/>
        <v>2317</v>
      </c>
      <c r="L1476" s="105">
        <f t="shared" si="366"/>
        <v>21</v>
      </c>
      <c r="M1476" s="105">
        <f t="shared" si="366"/>
        <v>1</v>
      </c>
      <c r="N1476" s="105">
        <f t="shared" si="366"/>
        <v>2</v>
      </c>
      <c r="O1476" s="105">
        <f t="shared" si="366"/>
        <v>6</v>
      </c>
      <c r="P1476" s="105">
        <f t="shared" si="366"/>
        <v>0</v>
      </c>
      <c r="Q1476" s="105">
        <f t="shared" si="366"/>
        <v>1</v>
      </c>
      <c r="R1476" s="105">
        <f t="shared" si="366"/>
        <v>5</v>
      </c>
      <c r="S1476" s="105">
        <f t="shared" si="366"/>
        <v>7</v>
      </c>
      <c r="T1476" s="106">
        <f t="shared" si="366"/>
        <v>75</v>
      </c>
      <c r="U1476" s="130"/>
      <c r="V1476" s="1"/>
      <c r="W1476" s="68">
        <f t="shared" ref="W1476:AD1476" si="367">SUBTOTAL(9,W1408:W1475)</f>
        <v>260649003.20000002</v>
      </c>
      <c r="X1476" s="68">
        <f t="shared" si="367"/>
        <v>69785000</v>
      </c>
      <c r="Y1476" s="68">
        <f t="shared" si="367"/>
        <v>55408000</v>
      </c>
      <c r="Z1476" s="68">
        <f t="shared" si="367"/>
        <v>0</v>
      </c>
      <c r="AA1476" s="68">
        <f t="shared" si="367"/>
        <v>0</v>
      </c>
      <c r="AB1476" s="68">
        <f t="shared" si="367"/>
        <v>0</v>
      </c>
      <c r="AC1476" s="69">
        <f t="shared" si="367"/>
        <v>385842003.20000005</v>
      </c>
      <c r="AD1476" s="70">
        <f t="shared" si="367"/>
        <v>0</v>
      </c>
      <c r="AE1476" s="63"/>
      <c r="AF1476" s="72"/>
      <c r="AG1476" s="63"/>
      <c r="AH1476" s="23"/>
      <c r="AI1476" s="60"/>
      <c r="AJ1476" s="124"/>
      <c r="AK1476" s="121"/>
      <c r="AL1476" s="107"/>
      <c r="AM1476" s="108"/>
      <c r="AN1476" s="109"/>
      <c r="AO1476" s="108"/>
      <c r="AP1476" s="108"/>
      <c r="AQ1476" s="108"/>
      <c r="AR1476" s="108"/>
      <c r="AS1476" s="108"/>
      <c r="AT1476" s="108"/>
      <c r="AU1476" s="108"/>
      <c r="AV1476" s="108"/>
      <c r="AW1476" s="108"/>
      <c r="AX1476" s="108"/>
      <c r="AY1476" s="108"/>
      <c r="AZ1476" s="108"/>
      <c r="BA1476" s="108"/>
      <c r="BB1476" s="108"/>
      <c r="BC1476" s="108"/>
      <c r="BD1476" s="108"/>
      <c r="BE1476" s="108"/>
      <c r="BF1476" s="108"/>
      <c r="BG1476" s="108"/>
      <c r="BH1476" s="108"/>
      <c r="BI1476" s="108"/>
      <c r="BJ1476" s="108"/>
      <c r="BK1476" s="108"/>
      <c r="BL1476" s="108"/>
      <c r="BM1476" s="108"/>
      <c r="BN1476" s="108"/>
      <c r="BO1476" s="108"/>
      <c r="BP1476" s="108"/>
      <c r="BQ1476" s="108"/>
      <c r="BR1476" s="108"/>
      <c r="BS1476" s="108"/>
      <c r="BT1476" s="108"/>
      <c r="BU1476" s="108"/>
      <c r="BV1476" s="108"/>
      <c r="BW1476" s="108"/>
      <c r="BX1476" s="108"/>
      <c r="BY1476" s="108"/>
      <c r="BZ1476" s="108"/>
      <c r="CA1476" s="108"/>
      <c r="CB1476" s="108"/>
      <c r="CC1476" s="108"/>
      <c r="CD1476" s="108"/>
      <c r="CE1476" s="108"/>
      <c r="CF1476" s="108"/>
      <c r="CG1476" s="108"/>
      <c r="CH1476" s="108"/>
      <c r="CI1476" s="108"/>
      <c r="CJ1476" s="108"/>
      <c r="CK1476" s="108"/>
      <c r="CL1476" s="108"/>
      <c r="CM1476" s="108"/>
      <c r="CN1476" s="110"/>
      <c r="CO1476" s="111"/>
      <c r="CP1476" s="110"/>
      <c r="CQ1476" s="111"/>
      <c r="CR1476" s="110"/>
      <c r="CS1476" s="111"/>
      <c r="CT1476" s="112"/>
      <c r="CU1476" s="113"/>
      <c r="CV1476" s="114"/>
      <c r="CW1476" s="115"/>
      <c r="CX1476" s="116"/>
      <c r="CY1476" s="117"/>
      <c r="CZ1476" s="116"/>
      <c r="DA1476" s="113"/>
      <c r="DB1476" s="114"/>
      <c r="DC1476" s="64"/>
      <c r="DD1476" s="118"/>
    </row>
    <row r="1477" spans="1:108" s="119" customFormat="1" ht="48" outlineLevel="2">
      <c r="A1477" s="178">
        <v>40276</v>
      </c>
      <c r="B1477" s="82" t="s">
        <v>1768</v>
      </c>
      <c r="C1477" s="82" t="s">
        <v>930</v>
      </c>
      <c r="D1477" s="165" t="s">
        <v>1262</v>
      </c>
      <c r="E1477" s="167"/>
      <c r="F1477" s="66"/>
      <c r="G1477" s="66"/>
      <c r="H1477" s="66">
        <f>800*5</f>
        <v>4000</v>
      </c>
      <c r="I1477" s="66">
        <v>800</v>
      </c>
      <c r="J1477" s="66"/>
      <c r="K1477" s="66">
        <v>800</v>
      </c>
      <c r="L1477" s="66"/>
      <c r="M1477" s="66"/>
      <c r="N1477" s="66"/>
      <c r="O1477" s="66"/>
      <c r="P1477" s="66"/>
      <c r="Q1477" s="66"/>
      <c r="R1477" s="66"/>
      <c r="S1477" s="66"/>
      <c r="T1477" s="67"/>
      <c r="U1477" s="151"/>
      <c r="V1477" s="1">
        <v>40339</v>
      </c>
      <c r="W1477" s="68">
        <f t="shared" ref="W1477:W1508" si="368">CT1477</f>
        <v>36952000</v>
      </c>
      <c r="X1477" s="68">
        <f t="shared" ref="X1477:X1508" si="369">CX1477</f>
        <v>85000000</v>
      </c>
      <c r="Y1477" s="68">
        <f t="shared" ref="Y1477:Y1508" si="370">CZ1477+DB1477</f>
        <v>0</v>
      </c>
      <c r="Z1477" s="68">
        <f t="shared" ref="Z1477:Z1508" si="371">CV1477</f>
        <v>0</v>
      </c>
      <c r="AA1477" s="68">
        <f>100*330600+35*160080+2600*580</f>
        <v>40170800</v>
      </c>
      <c r="AB1477" s="68">
        <v>0</v>
      </c>
      <c r="AC1477" s="69">
        <f t="shared" ref="AC1477:AC1508" si="372">W1477+X1477+Y1477+Z1477+AA1477+AB1477</f>
        <v>162122800</v>
      </c>
      <c r="AD1477" s="70">
        <v>0</v>
      </c>
      <c r="AE1477" s="63">
        <v>40310</v>
      </c>
      <c r="AF1477" s="72">
        <v>97441</v>
      </c>
      <c r="AG1477" s="63" t="s">
        <v>954</v>
      </c>
      <c r="AH1477" s="23" t="s">
        <v>955</v>
      </c>
      <c r="AI1477" s="75" t="s">
        <v>1568</v>
      </c>
      <c r="AJ1477" s="133" t="s">
        <v>415</v>
      </c>
      <c r="AK1477" s="73" t="s">
        <v>1048</v>
      </c>
      <c r="AL1477" s="3"/>
      <c r="AM1477" s="4"/>
      <c r="AN1477" s="5"/>
      <c r="AO1477" s="4"/>
      <c r="AP1477" s="4"/>
      <c r="AQ1477" s="4"/>
      <c r="AR1477" s="4"/>
      <c r="AS1477" s="4"/>
      <c r="AT1477" s="4"/>
      <c r="AU1477" s="4"/>
      <c r="AV1477" s="4"/>
      <c r="AW1477" s="4"/>
      <c r="AX1477" s="4"/>
      <c r="AY1477" s="4"/>
      <c r="AZ1477" s="4"/>
      <c r="BA1477" s="4"/>
      <c r="BB1477" s="4"/>
      <c r="BC1477" s="4"/>
      <c r="BD1477" s="4"/>
      <c r="BE1477" s="4"/>
      <c r="BF1477" s="4"/>
      <c r="BG1477" s="4"/>
      <c r="BH1477" s="4"/>
      <c r="BI1477" s="4"/>
      <c r="BJ1477" s="4"/>
      <c r="BK1477" s="4"/>
      <c r="BL1477" s="4"/>
      <c r="BM1477" s="4"/>
      <c r="BN1477" s="4"/>
      <c r="BO1477" s="4"/>
      <c r="BP1477" s="4"/>
      <c r="BQ1477" s="4"/>
      <c r="BR1477" s="4"/>
      <c r="BS1477" s="4"/>
      <c r="BT1477" s="4"/>
      <c r="BU1477" s="4"/>
      <c r="BV1477" s="4"/>
      <c r="BW1477" s="4"/>
      <c r="BX1477" s="4"/>
      <c r="BY1477" s="4"/>
      <c r="BZ1477" s="4"/>
      <c r="CA1477" s="4"/>
      <c r="CB1477" s="4"/>
      <c r="CC1477" s="4"/>
      <c r="CD1477" s="4"/>
      <c r="CE1477" s="4"/>
      <c r="CF1477" s="4"/>
      <c r="CG1477" s="4"/>
      <c r="CH1477" s="4"/>
      <c r="CI1477" s="4"/>
      <c r="CJ1477" s="4"/>
      <c r="CK1477" s="4"/>
      <c r="CL1477" s="4"/>
      <c r="CM1477" s="4"/>
      <c r="CN1477" s="6">
        <v>1000</v>
      </c>
      <c r="CO1477" s="7">
        <f>1000*36952</f>
        <v>36952000</v>
      </c>
      <c r="CP1477" s="6"/>
      <c r="CQ1477" s="7"/>
      <c r="CR1477" s="6"/>
      <c r="CS1477" s="7"/>
      <c r="CT1477" s="8">
        <f t="shared" ref="CT1477:CT1508" si="373">AM1477+AO1477+AQ1477+AS1477+AU1477+AW1477+AY1477+BA1477+BC1477+BE1477+BG1477+BI1477+BK1477+BM1477+BO1477+BQ1477+BS1477+BU1477+BW1477+BY1477+CA1477+CC1477+CE1477+CG1477+CI1477+CK1477+CM1477+CO1477+CQ1477+CS1477</f>
        <v>36952000</v>
      </c>
      <c r="CU1477" s="9"/>
      <c r="CV1477" s="10"/>
      <c r="CW1477" s="11">
        <v>1000</v>
      </c>
      <c r="CX1477" s="12">
        <f>1000*85000</f>
        <v>85000000</v>
      </c>
      <c r="CY1477" s="26"/>
      <c r="CZ1477" s="12"/>
      <c r="DA1477" s="9"/>
      <c r="DB1477" s="10"/>
      <c r="DC1477" s="64"/>
      <c r="DD1477" s="22"/>
    </row>
    <row r="1478" spans="1:108" s="119" customFormat="1" ht="24" outlineLevel="2">
      <c r="A1478" s="178">
        <v>40277</v>
      </c>
      <c r="B1478" s="82" t="s">
        <v>1768</v>
      </c>
      <c r="C1478" s="82" t="s">
        <v>1622</v>
      </c>
      <c r="D1478" s="165" t="s">
        <v>944</v>
      </c>
      <c r="E1478" s="167">
        <v>1</v>
      </c>
      <c r="F1478" s="66"/>
      <c r="G1478" s="66"/>
      <c r="H1478" s="66"/>
      <c r="I1478" s="66"/>
      <c r="J1478" s="66"/>
      <c r="K1478" s="66"/>
      <c r="L1478" s="66"/>
      <c r="M1478" s="66"/>
      <c r="N1478" s="66"/>
      <c r="O1478" s="66"/>
      <c r="P1478" s="66"/>
      <c r="Q1478" s="66"/>
      <c r="R1478" s="66"/>
      <c r="S1478" s="66"/>
      <c r="T1478" s="67"/>
      <c r="U1478" s="151"/>
      <c r="V1478" s="1"/>
      <c r="W1478" s="68">
        <f t="shared" si="368"/>
        <v>0</v>
      </c>
      <c r="X1478" s="68">
        <f t="shared" si="369"/>
        <v>0</v>
      </c>
      <c r="Y1478" s="68">
        <f t="shared" si="370"/>
        <v>0</v>
      </c>
      <c r="Z1478" s="68">
        <f t="shared" si="371"/>
        <v>0</v>
      </c>
      <c r="AA1478" s="68"/>
      <c r="AB1478" s="68">
        <v>0</v>
      </c>
      <c r="AC1478" s="69">
        <f t="shared" si="372"/>
        <v>0</v>
      </c>
      <c r="AD1478" s="70">
        <v>0</v>
      </c>
      <c r="AE1478" s="63">
        <v>40278</v>
      </c>
      <c r="AF1478" s="72"/>
      <c r="AG1478" s="63" t="s">
        <v>938</v>
      </c>
      <c r="AH1478" s="23" t="s">
        <v>939</v>
      </c>
      <c r="AI1478" s="60"/>
      <c r="AJ1478" s="133" t="s">
        <v>1608</v>
      </c>
      <c r="AK1478" s="73" t="s">
        <v>1698</v>
      </c>
      <c r="AL1478" s="3"/>
      <c r="AM1478" s="4"/>
      <c r="AN1478" s="5"/>
      <c r="AO1478" s="4"/>
      <c r="AP1478" s="4"/>
      <c r="AQ1478" s="4"/>
      <c r="AR1478" s="4"/>
      <c r="AS1478" s="4"/>
      <c r="AT1478" s="4"/>
      <c r="AU1478" s="4"/>
      <c r="AV1478" s="4"/>
      <c r="AW1478" s="4"/>
      <c r="AX1478" s="4"/>
      <c r="AY1478" s="4"/>
      <c r="AZ1478" s="4"/>
      <c r="BA1478" s="4"/>
      <c r="BB1478" s="4"/>
      <c r="BC1478" s="4"/>
      <c r="BD1478" s="4"/>
      <c r="BE1478" s="4"/>
      <c r="BF1478" s="4"/>
      <c r="BG1478" s="4"/>
      <c r="BH1478" s="4"/>
      <c r="BI1478" s="4"/>
      <c r="BJ1478" s="4"/>
      <c r="BK1478" s="4"/>
      <c r="BL1478" s="4"/>
      <c r="BM1478" s="4"/>
      <c r="BN1478" s="4"/>
      <c r="BO1478" s="4"/>
      <c r="BP1478" s="4"/>
      <c r="BQ1478" s="4"/>
      <c r="BR1478" s="4"/>
      <c r="BS1478" s="4"/>
      <c r="BT1478" s="4"/>
      <c r="BU1478" s="4"/>
      <c r="BV1478" s="4"/>
      <c r="BW1478" s="4"/>
      <c r="BX1478" s="4"/>
      <c r="BY1478" s="4"/>
      <c r="BZ1478" s="4"/>
      <c r="CA1478" s="4"/>
      <c r="CB1478" s="4"/>
      <c r="CC1478" s="4"/>
      <c r="CD1478" s="4"/>
      <c r="CE1478" s="4"/>
      <c r="CF1478" s="4"/>
      <c r="CG1478" s="4"/>
      <c r="CH1478" s="4"/>
      <c r="CI1478" s="4"/>
      <c r="CJ1478" s="4"/>
      <c r="CK1478" s="4"/>
      <c r="CL1478" s="4"/>
      <c r="CM1478" s="4"/>
      <c r="CN1478" s="6"/>
      <c r="CO1478" s="7"/>
      <c r="CP1478" s="6"/>
      <c r="CQ1478" s="7"/>
      <c r="CR1478" s="6"/>
      <c r="CS1478" s="7"/>
      <c r="CT1478" s="8">
        <f t="shared" si="373"/>
        <v>0</v>
      </c>
      <c r="CU1478" s="9"/>
      <c r="CV1478" s="10"/>
      <c r="CW1478" s="11"/>
      <c r="CX1478" s="12"/>
      <c r="CY1478" s="26"/>
      <c r="CZ1478" s="12"/>
      <c r="DA1478" s="9"/>
      <c r="DB1478" s="10"/>
      <c r="DC1478" s="64"/>
      <c r="DD1478" s="22"/>
    </row>
    <row r="1479" spans="1:108" s="119" customFormat="1" ht="22.5" outlineLevel="2">
      <c r="A1479" s="178">
        <v>40277</v>
      </c>
      <c r="B1479" s="82" t="s">
        <v>1768</v>
      </c>
      <c r="C1479" s="82" t="s">
        <v>1692</v>
      </c>
      <c r="D1479" s="165" t="s">
        <v>1262</v>
      </c>
      <c r="E1479" s="167"/>
      <c r="F1479" s="66">
        <v>1</v>
      </c>
      <c r="G1479" s="66"/>
      <c r="H1479" s="66">
        <v>60</v>
      </c>
      <c r="I1479" s="66">
        <v>12</v>
      </c>
      <c r="J1479" s="66"/>
      <c r="K1479" s="66">
        <v>12</v>
      </c>
      <c r="L1479" s="66"/>
      <c r="M1479" s="66"/>
      <c r="N1479" s="66"/>
      <c r="O1479" s="66"/>
      <c r="P1479" s="66"/>
      <c r="Q1479" s="66"/>
      <c r="R1479" s="66"/>
      <c r="S1479" s="66"/>
      <c r="T1479" s="67"/>
      <c r="U1479" s="151"/>
      <c r="V1479" s="1"/>
      <c r="W1479" s="68">
        <f t="shared" si="368"/>
        <v>0</v>
      </c>
      <c r="X1479" s="68">
        <f t="shared" si="369"/>
        <v>0</v>
      </c>
      <c r="Y1479" s="68">
        <f t="shared" si="370"/>
        <v>0</v>
      </c>
      <c r="Z1479" s="68">
        <f t="shared" si="371"/>
        <v>0</v>
      </c>
      <c r="AA1479" s="68"/>
      <c r="AB1479" s="68">
        <v>0</v>
      </c>
      <c r="AC1479" s="69">
        <f t="shared" si="372"/>
        <v>0</v>
      </c>
      <c r="AD1479" s="70">
        <v>0</v>
      </c>
      <c r="AE1479" s="63">
        <v>40278</v>
      </c>
      <c r="AF1479" s="72"/>
      <c r="AG1479" s="63" t="s">
        <v>938</v>
      </c>
      <c r="AH1479" s="23" t="s">
        <v>939</v>
      </c>
      <c r="AI1479" s="60"/>
      <c r="AJ1479" s="133" t="s">
        <v>1608</v>
      </c>
      <c r="AK1479" s="73" t="s">
        <v>1960</v>
      </c>
      <c r="AL1479" s="3"/>
      <c r="AM1479" s="4"/>
      <c r="AN1479" s="5"/>
      <c r="AO1479" s="4"/>
      <c r="AP1479" s="4"/>
      <c r="AQ1479" s="4"/>
      <c r="AR1479" s="4"/>
      <c r="AS1479" s="4"/>
      <c r="AT1479" s="4"/>
      <c r="AU1479" s="4"/>
      <c r="AV1479" s="4"/>
      <c r="AW1479" s="4"/>
      <c r="AX1479" s="4"/>
      <c r="AY1479" s="4"/>
      <c r="AZ1479" s="4"/>
      <c r="BA1479" s="4"/>
      <c r="BB1479" s="4"/>
      <c r="BC1479" s="4"/>
      <c r="BD1479" s="4"/>
      <c r="BE1479" s="4"/>
      <c r="BF1479" s="4"/>
      <c r="BG1479" s="4"/>
      <c r="BH1479" s="4"/>
      <c r="BI1479" s="4"/>
      <c r="BJ1479" s="4"/>
      <c r="BK1479" s="4"/>
      <c r="BL1479" s="4"/>
      <c r="BM1479" s="4"/>
      <c r="BN1479" s="4"/>
      <c r="BO1479" s="4"/>
      <c r="BP1479" s="4"/>
      <c r="BQ1479" s="4"/>
      <c r="BR1479" s="4"/>
      <c r="BS1479" s="4"/>
      <c r="BT1479" s="4"/>
      <c r="BU1479" s="4"/>
      <c r="BV1479" s="4"/>
      <c r="BW1479" s="4"/>
      <c r="BX1479" s="4"/>
      <c r="BY1479" s="4"/>
      <c r="BZ1479" s="4"/>
      <c r="CA1479" s="4"/>
      <c r="CB1479" s="4"/>
      <c r="CC1479" s="4"/>
      <c r="CD1479" s="4"/>
      <c r="CE1479" s="4"/>
      <c r="CF1479" s="4"/>
      <c r="CG1479" s="4"/>
      <c r="CH1479" s="4"/>
      <c r="CI1479" s="4"/>
      <c r="CJ1479" s="4"/>
      <c r="CK1479" s="4"/>
      <c r="CL1479" s="4"/>
      <c r="CM1479" s="4"/>
      <c r="CN1479" s="6"/>
      <c r="CO1479" s="7"/>
      <c r="CP1479" s="6"/>
      <c r="CQ1479" s="7"/>
      <c r="CR1479" s="6"/>
      <c r="CS1479" s="7"/>
      <c r="CT1479" s="8">
        <f t="shared" si="373"/>
        <v>0</v>
      </c>
      <c r="CU1479" s="9"/>
      <c r="CV1479" s="10"/>
      <c r="CW1479" s="11"/>
      <c r="CX1479" s="12"/>
      <c r="CY1479" s="26"/>
      <c r="CZ1479" s="12"/>
      <c r="DA1479" s="9"/>
      <c r="DB1479" s="10"/>
      <c r="DC1479" s="64"/>
      <c r="DD1479" s="22"/>
    </row>
    <row r="1480" spans="1:108" s="119" customFormat="1" ht="24" outlineLevel="2">
      <c r="A1480" s="178">
        <v>40277</v>
      </c>
      <c r="B1480" s="82" t="s">
        <v>1768</v>
      </c>
      <c r="C1480" s="82" t="s">
        <v>1693</v>
      </c>
      <c r="D1480" s="165" t="s">
        <v>1262</v>
      </c>
      <c r="E1480" s="167"/>
      <c r="F1480" s="66"/>
      <c r="G1480" s="66"/>
      <c r="H1480" s="66">
        <v>7</v>
      </c>
      <c r="I1480" s="66">
        <v>1</v>
      </c>
      <c r="J1480" s="66"/>
      <c r="K1480" s="66">
        <v>1</v>
      </c>
      <c r="L1480" s="66"/>
      <c r="M1480" s="66"/>
      <c r="N1480" s="66"/>
      <c r="O1480" s="66"/>
      <c r="P1480" s="66"/>
      <c r="Q1480" s="66"/>
      <c r="R1480" s="66"/>
      <c r="S1480" s="66"/>
      <c r="T1480" s="67"/>
      <c r="U1480" s="151" t="s">
        <v>1695</v>
      </c>
      <c r="V1480" s="1"/>
      <c r="W1480" s="68">
        <f t="shared" si="368"/>
        <v>0</v>
      </c>
      <c r="X1480" s="68">
        <f t="shared" si="369"/>
        <v>0</v>
      </c>
      <c r="Y1480" s="68">
        <f t="shared" si="370"/>
        <v>0</v>
      </c>
      <c r="Z1480" s="68">
        <f t="shared" si="371"/>
        <v>0</v>
      </c>
      <c r="AA1480" s="68"/>
      <c r="AB1480" s="68">
        <v>0</v>
      </c>
      <c r="AC1480" s="69">
        <f t="shared" si="372"/>
        <v>0</v>
      </c>
      <c r="AD1480" s="70">
        <v>0</v>
      </c>
      <c r="AE1480" s="63">
        <v>40278</v>
      </c>
      <c r="AF1480" s="72"/>
      <c r="AG1480" s="63" t="s">
        <v>938</v>
      </c>
      <c r="AH1480" s="23" t="s">
        <v>939</v>
      </c>
      <c r="AI1480" s="60"/>
      <c r="AJ1480" s="133" t="s">
        <v>1608</v>
      </c>
      <c r="AK1480" s="73" t="s">
        <v>1694</v>
      </c>
      <c r="AL1480" s="3"/>
      <c r="AM1480" s="4"/>
      <c r="AN1480" s="5"/>
      <c r="AO1480" s="4"/>
      <c r="AP1480" s="4"/>
      <c r="AQ1480" s="4"/>
      <c r="AR1480" s="4"/>
      <c r="AS1480" s="4"/>
      <c r="AT1480" s="4"/>
      <c r="AU1480" s="4"/>
      <c r="AV1480" s="4"/>
      <c r="AW1480" s="4"/>
      <c r="AX1480" s="4"/>
      <c r="AY1480" s="4"/>
      <c r="AZ1480" s="4"/>
      <c r="BA1480" s="4"/>
      <c r="BB1480" s="4"/>
      <c r="BC1480" s="4"/>
      <c r="BD1480" s="4"/>
      <c r="BE1480" s="4"/>
      <c r="BF1480" s="4"/>
      <c r="BG1480" s="4"/>
      <c r="BH1480" s="4"/>
      <c r="BI1480" s="4"/>
      <c r="BJ1480" s="4"/>
      <c r="BK1480" s="4"/>
      <c r="BL1480" s="4"/>
      <c r="BM1480" s="4"/>
      <c r="BN1480" s="4"/>
      <c r="BO1480" s="4"/>
      <c r="BP1480" s="4"/>
      <c r="BQ1480" s="4"/>
      <c r="BR1480" s="4"/>
      <c r="BS1480" s="4"/>
      <c r="BT1480" s="4"/>
      <c r="BU1480" s="4"/>
      <c r="BV1480" s="4"/>
      <c r="BW1480" s="4"/>
      <c r="BX1480" s="4"/>
      <c r="BY1480" s="4"/>
      <c r="BZ1480" s="4"/>
      <c r="CA1480" s="4"/>
      <c r="CB1480" s="4"/>
      <c r="CC1480" s="4"/>
      <c r="CD1480" s="4"/>
      <c r="CE1480" s="4"/>
      <c r="CF1480" s="4"/>
      <c r="CG1480" s="4"/>
      <c r="CH1480" s="4"/>
      <c r="CI1480" s="4"/>
      <c r="CJ1480" s="4"/>
      <c r="CK1480" s="4"/>
      <c r="CL1480" s="4"/>
      <c r="CM1480" s="4"/>
      <c r="CN1480" s="6"/>
      <c r="CO1480" s="7"/>
      <c r="CP1480" s="6"/>
      <c r="CQ1480" s="7"/>
      <c r="CR1480" s="6"/>
      <c r="CS1480" s="7"/>
      <c r="CT1480" s="8">
        <f t="shared" si="373"/>
        <v>0</v>
      </c>
      <c r="CU1480" s="9"/>
      <c r="CV1480" s="10"/>
      <c r="CW1480" s="11"/>
      <c r="CX1480" s="12"/>
      <c r="CY1480" s="26"/>
      <c r="CZ1480" s="12"/>
      <c r="DA1480" s="9"/>
      <c r="DB1480" s="10"/>
      <c r="DC1480" s="64"/>
      <c r="DD1480" s="22"/>
    </row>
    <row r="1481" spans="1:108" s="119" customFormat="1" ht="24" outlineLevel="2">
      <c r="A1481" s="178">
        <v>40278</v>
      </c>
      <c r="B1481" s="82" t="s">
        <v>1768</v>
      </c>
      <c r="C1481" s="82" t="s">
        <v>1622</v>
      </c>
      <c r="D1481" s="165" t="s">
        <v>1182</v>
      </c>
      <c r="E1481" s="167">
        <v>1</v>
      </c>
      <c r="F1481" s="66"/>
      <c r="G1481" s="66"/>
      <c r="H1481" s="66"/>
      <c r="I1481" s="66"/>
      <c r="J1481" s="66"/>
      <c r="K1481" s="66"/>
      <c r="L1481" s="66"/>
      <c r="M1481" s="66"/>
      <c r="N1481" s="66"/>
      <c r="O1481" s="66"/>
      <c r="P1481" s="66"/>
      <c r="Q1481" s="66"/>
      <c r="R1481" s="66"/>
      <c r="S1481" s="66"/>
      <c r="T1481" s="67"/>
      <c r="U1481" s="151"/>
      <c r="V1481" s="1"/>
      <c r="W1481" s="68">
        <f t="shared" si="368"/>
        <v>0</v>
      </c>
      <c r="X1481" s="68">
        <f t="shared" si="369"/>
        <v>0</v>
      </c>
      <c r="Y1481" s="68">
        <f t="shared" si="370"/>
        <v>0</v>
      </c>
      <c r="Z1481" s="68">
        <f t="shared" si="371"/>
        <v>0</v>
      </c>
      <c r="AA1481" s="68"/>
      <c r="AB1481" s="68">
        <v>0</v>
      </c>
      <c r="AC1481" s="69">
        <f t="shared" si="372"/>
        <v>0</v>
      </c>
      <c r="AD1481" s="70">
        <v>0</v>
      </c>
      <c r="AE1481" s="63">
        <v>40278</v>
      </c>
      <c r="AF1481" s="72"/>
      <c r="AG1481" s="63" t="s">
        <v>938</v>
      </c>
      <c r="AH1481" s="23" t="s">
        <v>939</v>
      </c>
      <c r="AI1481" s="60"/>
      <c r="AJ1481" s="133" t="s">
        <v>1608</v>
      </c>
      <c r="AK1481" s="73" t="s">
        <v>1688</v>
      </c>
      <c r="AL1481" s="3"/>
      <c r="AM1481" s="4"/>
      <c r="AN1481" s="5"/>
      <c r="AO1481" s="4"/>
      <c r="AP1481" s="4"/>
      <c r="AQ1481" s="4"/>
      <c r="AR1481" s="4"/>
      <c r="AS1481" s="4"/>
      <c r="AT1481" s="4"/>
      <c r="AU1481" s="4"/>
      <c r="AV1481" s="4"/>
      <c r="AW1481" s="4"/>
      <c r="AX1481" s="4"/>
      <c r="AY1481" s="4"/>
      <c r="AZ1481" s="4"/>
      <c r="BA1481" s="4"/>
      <c r="BB1481" s="4"/>
      <c r="BC1481" s="4"/>
      <c r="BD1481" s="4"/>
      <c r="BE1481" s="4"/>
      <c r="BF1481" s="4"/>
      <c r="BG1481" s="4"/>
      <c r="BH1481" s="4"/>
      <c r="BI1481" s="4"/>
      <c r="BJ1481" s="4"/>
      <c r="BK1481" s="4"/>
      <c r="BL1481" s="4"/>
      <c r="BM1481" s="4"/>
      <c r="BN1481" s="4"/>
      <c r="BO1481" s="4"/>
      <c r="BP1481" s="4"/>
      <c r="BQ1481" s="4"/>
      <c r="BR1481" s="4"/>
      <c r="BS1481" s="4"/>
      <c r="BT1481" s="4"/>
      <c r="BU1481" s="4"/>
      <c r="BV1481" s="4"/>
      <c r="BW1481" s="4"/>
      <c r="BX1481" s="4"/>
      <c r="BY1481" s="4"/>
      <c r="BZ1481" s="4"/>
      <c r="CA1481" s="4"/>
      <c r="CB1481" s="4"/>
      <c r="CC1481" s="4"/>
      <c r="CD1481" s="4"/>
      <c r="CE1481" s="4"/>
      <c r="CF1481" s="4"/>
      <c r="CG1481" s="4"/>
      <c r="CH1481" s="4"/>
      <c r="CI1481" s="4"/>
      <c r="CJ1481" s="4"/>
      <c r="CK1481" s="4"/>
      <c r="CL1481" s="4"/>
      <c r="CM1481" s="4"/>
      <c r="CN1481" s="6"/>
      <c r="CO1481" s="7"/>
      <c r="CP1481" s="6"/>
      <c r="CQ1481" s="7"/>
      <c r="CR1481" s="6"/>
      <c r="CS1481" s="7"/>
      <c r="CT1481" s="8">
        <f t="shared" si="373"/>
        <v>0</v>
      </c>
      <c r="CU1481" s="9"/>
      <c r="CV1481" s="10"/>
      <c r="CW1481" s="11"/>
      <c r="CX1481" s="12"/>
      <c r="CY1481" s="26"/>
      <c r="CZ1481" s="12"/>
      <c r="DA1481" s="9"/>
      <c r="DB1481" s="10"/>
      <c r="DC1481" s="64"/>
      <c r="DD1481" s="22"/>
    </row>
    <row r="1482" spans="1:108" s="119" customFormat="1" ht="45" outlineLevel="2">
      <c r="A1482" s="178">
        <v>40282</v>
      </c>
      <c r="B1482" s="82" t="s">
        <v>1768</v>
      </c>
      <c r="C1482" s="82" t="s">
        <v>972</v>
      </c>
      <c r="D1482" s="165" t="s">
        <v>435</v>
      </c>
      <c r="E1482" s="167"/>
      <c r="F1482" s="66">
        <v>2</v>
      </c>
      <c r="G1482" s="66"/>
      <c r="H1482" s="66">
        <f>32*5</f>
        <v>160</v>
      </c>
      <c r="I1482" s="66">
        <v>32</v>
      </c>
      <c r="J1482" s="66"/>
      <c r="K1482" s="66">
        <v>32</v>
      </c>
      <c r="L1482" s="66"/>
      <c r="M1482" s="66"/>
      <c r="N1482" s="66"/>
      <c r="O1482" s="66"/>
      <c r="P1482" s="66"/>
      <c r="Q1482" s="66"/>
      <c r="R1482" s="66"/>
      <c r="S1482" s="66"/>
      <c r="T1482" s="67"/>
      <c r="U1482" s="151" t="s">
        <v>1158</v>
      </c>
      <c r="V1482" s="1">
        <v>40302</v>
      </c>
      <c r="W1482" s="68">
        <f t="shared" si="368"/>
        <v>0</v>
      </c>
      <c r="X1482" s="68">
        <f t="shared" si="369"/>
        <v>0</v>
      </c>
      <c r="Y1482" s="68">
        <f t="shared" si="370"/>
        <v>35392000</v>
      </c>
      <c r="Z1482" s="68">
        <f t="shared" si="371"/>
        <v>0</v>
      </c>
      <c r="AA1482" s="68"/>
      <c r="AB1482" s="68">
        <v>0</v>
      </c>
      <c r="AC1482" s="69">
        <f t="shared" si="372"/>
        <v>35392000</v>
      </c>
      <c r="AD1482" s="70">
        <v>0</v>
      </c>
      <c r="AE1482" s="63">
        <v>40283</v>
      </c>
      <c r="AF1482" s="72">
        <v>96706</v>
      </c>
      <c r="AG1482" s="63" t="s">
        <v>954</v>
      </c>
      <c r="AH1482" s="23" t="s">
        <v>955</v>
      </c>
      <c r="AI1482" s="60">
        <v>103</v>
      </c>
      <c r="AJ1482" s="133" t="s">
        <v>415</v>
      </c>
      <c r="AK1482" s="73" t="s">
        <v>1195</v>
      </c>
      <c r="AL1482" s="3"/>
      <c r="AM1482" s="4"/>
      <c r="AN1482" s="5"/>
      <c r="AO1482" s="4"/>
      <c r="AP1482" s="4"/>
      <c r="AQ1482" s="4"/>
      <c r="AR1482" s="4"/>
      <c r="AS1482" s="4"/>
      <c r="AT1482" s="4"/>
      <c r="AU1482" s="4"/>
      <c r="AV1482" s="4"/>
      <c r="AW1482" s="4"/>
      <c r="AX1482" s="4"/>
      <c r="AY1482" s="4"/>
      <c r="AZ1482" s="4"/>
      <c r="BA1482" s="4"/>
      <c r="BB1482" s="4"/>
      <c r="BC1482" s="4"/>
      <c r="BD1482" s="4"/>
      <c r="BE1482" s="4"/>
      <c r="BF1482" s="4"/>
      <c r="BG1482" s="4"/>
      <c r="BH1482" s="4"/>
      <c r="BI1482" s="4"/>
      <c r="BJ1482" s="4"/>
      <c r="BK1482" s="4"/>
      <c r="BL1482" s="4"/>
      <c r="BM1482" s="4"/>
      <c r="BN1482" s="4"/>
      <c r="BO1482" s="4"/>
      <c r="BP1482" s="4"/>
      <c r="BQ1482" s="4"/>
      <c r="BR1482" s="4"/>
      <c r="BS1482" s="4"/>
      <c r="BT1482" s="4"/>
      <c r="BU1482" s="4"/>
      <c r="BV1482" s="4"/>
      <c r="BW1482" s="4"/>
      <c r="BX1482" s="4"/>
      <c r="BY1482" s="4"/>
      <c r="BZ1482" s="4"/>
      <c r="CA1482" s="4"/>
      <c r="CB1482" s="4"/>
      <c r="CC1482" s="4"/>
      <c r="CD1482" s="4"/>
      <c r="CE1482" s="4"/>
      <c r="CF1482" s="4"/>
      <c r="CG1482" s="4"/>
      <c r="CH1482" s="4"/>
      <c r="CI1482" s="4"/>
      <c r="CJ1482" s="4"/>
      <c r="CK1482" s="4"/>
      <c r="CL1482" s="4"/>
      <c r="CM1482" s="4"/>
      <c r="CN1482" s="6"/>
      <c r="CO1482" s="7"/>
      <c r="CP1482" s="6"/>
      <c r="CQ1482" s="7"/>
      <c r="CR1482" s="6"/>
      <c r="CS1482" s="7"/>
      <c r="CT1482" s="8">
        <f t="shared" si="373"/>
        <v>0</v>
      </c>
      <c r="CU1482" s="9"/>
      <c r="CV1482" s="10"/>
      <c r="CW1482" s="11"/>
      <c r="CX1482" s="12"/>
      <c r="CY1482" s="26"/>
      <c r="CZ1482" s="12"/>
      <c r="DA1482" s="9">
        <v>1000</v>
      </c>
      <c r="DB1482" s="10">
        <f>1000*34000+4000*348</f>
        <v>35392000</v>
      </c>
      <c r="DC1482" s="64"/>
      <c r="DD1482" s="22"/>
    </row>
    <row r="1483" spans="1:108" s="119" customFormat="1" ht="22.5" outlineLevel="2">
      <c r="A1483" s="178">
        <v>40282</v>
      </c>
      <c r="B1483" s="82" t="s">
        <v>1768</v>
      </c>
      <c r="C1483" s="82" t="s">
        <v>973</v>
      </c>
      <c r="D1483" s="165" t="s">
        <v>435</v>
      </c>
      <c r="E1483" s="167"/>
      <c r="F1483" s="66"/>
      <c r="G1483" s="66"/>
      <c r="H1483" s="66">
        <v>7</v>
      </c>
      <c r="I1483" s="66">
        <v>1</v>
      </c>
      <c r="J1483" s="66"/>
      <c r="K1483" s="66">
        <v>1</v>
      </c>
      <c r="L1483" s="66"/>
      <c r="M1483" s="66"/>
      <c r="N1483" s="66"/>
      <c r="O1483" s="66"/>
      <c r="P1483" s="66"/>
      <c r="Q1483" s="66"/>
      <c r="R1483" s="66"/>
      <c r="S1483" s="66"/>
      <c r="T1483" s="67"/>
      <c r="U1483" s="151"/>
      <c r="V1483" s="1"/>
      <c r="W1483" s="68">
        <f t="shared" si="368"/>
        <v>0</v>
      </c>
      <c r="X1483" s="68">
        <f t="shared" si="369"/>
        <v>0</v>
      </c>
      <c r="Y1483" s="68">
        <f t="shared" si="370"/>
        <v>0</v>
      </c>
      <c r="Z1483" s="68">
        <f t="shared" si="371"/>
        <v>0</v>
      </c>
      <c r="AA1483" s="68"/>
      <c r="AB1483" s="68">
        <v>0</v>
      </c>
      <c r="AC1483" s="69">
        <f t="shared" si="372"/>
        <v>0</v>
      </c>
      <c r="AD1483" s="70">
        <v>0</v>
      </c>
      <c r="AE1483" s="63">
        <v>40283</v>
      </c>
      <c r="AF1483" s="72"/>
      <c r="AG1483" s="63" t="s">
        <v>938</v>
      </c>
      <c r="AH1483" s="23" t="s">
        <v>939</v>
      </c>
      <c r="AI1483" s="60"/>
      <c r="AJ1483" s="133" t="s">
        <v>1608</v>
      </c>
      <c r="AK1483" s="73" t="s">
        <v>974</v>
      </c>
      <c r="AL1483" s="3"/>
      <c r="AM1483" s="4"/>
      <c r="AN1483" s="5"/>
      <c r="AO1483" s="4"/>
      <c r="AP1483" s="4"/>
      <c r="AQ1483" s="4"/>
      <c r="AR1483" s="4"/>
      <c r="AS1483" s="4"/>
      <c r="AT1483" s="4"/>
      <c r="AU1483" s="4"/>
      <c r="AV1483" s="4"/>
      <c r="AW1483" s="4"/>
      <c r="AX1483" s="4"/>
      <c r="AY1483" s="4"/>
      <c r="AZ1483" s="4"/>
      <c r="BA1483" s="4"/>
      <c r="BB1483" s="4"/>
      <c r="BC1483" s="4"/>
      <c r="BD1483" s="4"/>
      <c r="BE1483" s="4"/>
      <c r="BF1483" s="4"/>
      <c r="BG1483" s="4"/>
      <c r="BH1483" s="4"/>
      <c r="BI1483" s="4"/>
      <c r="BJ1483" s="4"/>
      <c r="BK1483" s="4"/>
      <c r="BL1483" s="4"/>
      <c r="BM1483" s="4"/>
      <c r="BN1483" s="4"/>
      <c r="BO1483" s="4"/>
      <c r="BP1483" s="4"/>
      <c r="BQ1483" s="4"/>
      <c r="BR1483" s="4"/>
      <c r="BS1483" s="4"/>
      <c r="BT1483" s="4"/>
      <c r="BU1483" s="4"/>
      <c r="BV1483" s="4"/>
      <c r="BW1483" s="4"/>
      <c r="BX1483" s="4"/>
      <c r="BY1483" s="4"/>
      <c r="BZ1483" s="4"/>
      <c r="CA1483" s="4"/>
      <c r="CB1483" s="4"/>
      <c r="CC1483" s="4"/>
      <c r="CD1483" s="4"/>
      <c r="CE1483" s="4"/>
      <c r="CF1483" s="4"/>
      <c r="CG1483" s="4"/>
      <c r="CH1483" s="4"/>
      <c r="CI1483" s="4"/>
      <c r="CJ1483" s="4"/>
      <c r="CK1483" s="4"/>
      <c r="CL1483" s="4"/>
      <c r="CM1483" s="4"/>
      <c r="CN1483" s="6"/>
      <c r="CO1483" s="7"/>
      <c r="CP1483" s="6"/>
      <c r="CQ1483" s="7"/>
      <c r="CR1483" s="6"/>
      <c r="CS1483" s="7"/>
      <c r="CT1483" s="8">
        <f t="shared" si="373"/>
        <v>0</v>
      </c>
      <c r="CU1483" s="9"/>
      <c r="CV1483" s="10"/>
      <c r="CW1483" s="11"/>
      <c r="CX1483" s="12"/>
      <c r="CY1483" s="26"/>
      <c r="CZ1483" s="12"/>
      <c r="DA1483" s="9"/>
      <c r="DB1483" s="10"/>
      <c r="DC1483" s="64"/>
      <c r="DD1483" s="22"/>
    </row>
    <row r="1484" spans="1:108" s="119" customFormat="1" ht="22.5" outlineLevel="2">
      <c r="A1484" s="178">
        <v>40289</v>
      </c>
      <c r="B1484" s="82" t="s">
        <v>1768</v>
      </c>
      <c r="C1484" s="82" t="s">
        <v>972</v>
      </c>
      <c r="D1484" s="165" t="s">
        <v>435</v>
      </c>
      <c r="E1484" s="167"/>
      <c r="F1484" s="66"/>
      <c r="G1484" s="66"/>
      <c r="H1484" s="66">
        <v>30</v>
      </c>
      <c r="I1484" s="66">
        <v>6</v>
      </c>
      <c r="J1484" s="66"/>
      <c r="K1484" s="66">
        <v>6</v>
      </c>
      <c r="L1484" s="66"/>
      <c r="M1484" s="66"/>
      <c r="N1484" s="66"/>
      <c r="O1484" s="66"/>
      <c r="P1484" s="66"/>
      <c r="Q1484" s="66"/>
      <c r="R1484" s="66"/>
      <c r="S1484" s="66"/>
      <c r="T1484" s="67"/>
      <c r="U1484" s="151"/>
      <c r="V1484" s="1"/>
      <c r="W1484" s="68">
        <f t="shared" si="368"/>
        <v>0</v>
      </c>
      <c r="X1484" s="68">
        <f t="shared" si="369"/>
        <v>0</v>
      </c>
      <c r="Y1484" s="68">
        <f t="shared" si="370"/>
        <v>0</v>
      </c>
      <c r="Z1484" s="68">
        <f t="shared" si="371"/>
        <v>0</v>
      </c>
      <c r="AA1484" s="68"/>
      <c r="AB1484" s="68">
        <v>0</v>
      </c>
      <c r="AC1484" s="69">
        <f t="shared" si="372"/>
        <v>0</v>
      </c>
      <c r="AD1484" s="70">
        <v>0</v>
      </c>
      <c r="AE1484" s="63">
        <v>40291</v>
      </c>
      <c r="AF1484" s="72"/>
      <c r="AG1484" s="63" t="s">
        <v>938</v>
      </c>
      <c r="AH1484" s="23" t="s">
        <v>939</v>
      </c>
      <c r="AI1484" s="60"/>
      <c r="AJ1484" s="133" t="s">
        <v>1608</v>
      </c>
      <c r="AK1484" s="73" t="s">
        <v>1268</v>
      </c>
      <c r="AL1484" s="3"/>
      <c r="AM1484" s="4"/>
      <c r="AN1484" s="5"/>
      <c r="AO1484" s="4"/>
      <c r="AP1484" s="4"/>
      <c r="AQ1484" s="4"/>
      <c r="AR1484" s="4"/>
      <c r="AS1484" s="4"/>
      <c r="AT1484" s="4"/>
      <c r="AU1484" s="4"/>
      <c r="AV1484" s="4"/>
      <c r="AW1484" s="4"/>
      <c r="AX1484" s="4"/>
      <c r="AY1484" s="4"/>
      <c r="AZ1484" s="4"/>
      <c r="BA1484" s="4"/>
      <c r="BB1484" s="4"/>
      <c r="BC1484" s="4"/>
      <c r="BD1484" s="4"/>
      <c r="BE1484" s="4"/>
      <c r="BF1484" s="4"/>
      <c r="BG1484" s="4"/>
      <c r="BH1484" s="4"/>
      <c r="BI1484" s="4"/>
      <c r="BJ1484" s="4"/>
      <c r="BK1484" s="4"/>
      <c r="BL1484" s="4"/>
      <c r="BM1484" s="4"/>
      <c r="BN1484" s="4"/>
      <c r="BO1484" s="4"/>
      <c r="BP1484" s="4"/>
      <c r="BQ1484" s="4"/>
      <c r="BR1484" s="4"/>
      <c r="BS1484" s="4"/>
      <c r="BT1484" s="4"/>
      <c r="BU1484" s="4"/>
      <c r="BV1484" s="4"/>
      <c r="BW1484" s="4"/>
      <c r="BX1484" s="4"/>
      <c r="BY1484" s="4"/>
      <c r="BZ1484" s="4"/>
      <c r="CA1484" s="4"/>
      <c r="CB1484" s="4"/>
      <c r="CC1484" s="4"/>
      <c r="CD1484" s="4"/>
      <c r="CE1484" s="4"/>
      <c r="CF1484" s="4"/>
      <c r="CG1484" s="4"/>
      <c r="CH1484" s="4"/>
      <c r="CI1484" s="4"/>
      <c r="CJ1484" s="4"/>
      <c r="CK1484" s="4"/>
      <c r="CL1484" s="4"/>
      <c r="CM1484" s="4"/>
      <c r="CN1484" s="6"/>
      <c r="CO1484" s="7"/>
      <c r="CP1484" s="6"/>
      <c r="CQ1484" s="7"/>
      <c r="CR1484" s="6"/>
      <c r="CS1484" s="7"/>
      <c r="CT1484" s="8">
        <f t="shared" si="373"/>
        <v>0</v>
      </c>
      <c r="CU1484" s="9"/>
      <c r="CV1484" s="10"/>
      <c r="CW1484" s="11"/>
      <c r="CX1484" s="12"/>
      <c r="CY1484" s="26"/>
      <c r="CZ1484" s="12"/>
      <c r="DA1484" s="9"/>
      <c r="DB1484" s="10"/>
      <c r="DC1484" s="64"/>
      <c r="DD1484" s="22"/>
    </row>
    <row r="1485" spans="1:108" s="119" customFormat="1" ht="56.25" outlineLevel="2">
      <c r="A1485" s="178">
        <v>40296</v>
      </c>
      <c r="B1485" s="82" t="s">
        <v>1768</v>
      </c>
      <c r="C1485" s="82" t="s">
        <v>1692</v>
      </c>
      <c r="D1485" s="165" t="s">
        <v>1262</v>
      </c>
      <c r="E1485" s="167"/>
      <c r="F1485" s="66"/>
      <c r="G1485" s="66"/>
      <c r="H1485" s="66">
        <v>750</v>
      </c>
      <c r="I1485" s="66">
        <v>150</v>
      </c>
      <c r="J1485" s="66"/>
      <c r="K1485" s="66">
        <v>150</v>
      </c>
      <c r="L1485" s="66"/>
      <c r="M1485" s="66"/>
      <c r="N1485" s="66"/>
      <c r="O1485" s="66"/>
      <c r="P1485" s="66"/>
      <c r="Q1485" s="66"/>
      <c r="R1485" s="66"/>
      <c r="S1485" s="66"/>
      <c r="T1485" s="67"/>
      <c r="U1485" s="151" t="s">
        <v>1479</v>
      </c>
      <c r="V1485" s="1"/>
      <c r="W1485" s="68">
        <f t="shared" si="368"/>
        <v>0</v>
      </c>
      <c r="X1485" s="68">
        <f t="shared" si="369"/>
        <v>0</v>
      </c>
      <c r="Y1485" s="68">
        <f t="shared" si="370"/>
        <v>0</v>
      </c>
      <c r="Z1485" s="68">
        <f t="shared" si="371"/>
        <v>0</v>
      </c>
      <c r="AA1485" s="68"/>
      <c r="AB1485" s="68">
        <v>0</v>
      </c>
      <c r="AC1485" s="69">
        <f t="shared" si="372"/>
        <v>0</v>
      </c>
      <c r="AD1485" s="70">
        <v>0</v>
      </c>
      <c r="AE1485" s="63">
        <v>40297</v>
      </c>
      <c r="AF1485" s="72">
        <v>50268</v>
      </c>
      <c r="AG1485" s="63" t="s">
        <v>954</v>
      </c>
      <c r="AH1485" s="23" t="s">
        <v>1572</v>
      </c>
      <c r="AI1485" s="60"/>
      <c r="AJ1485" s="133" t="s">
        <v>1343</v>
      </c>
      <c r="AK1485" s="73" t="s">
        <v>1480</v>
      </c>
      <c r="AL1485" s="3"/>
      <c r="AM1485" s="4"/>
      <c r="AN1485" s="5"/>
      <c r="AO1485" s="4"/>
      <c r="AP1485" s="4"/>
      <c r="AQ1485" s="4"/>
      <c r="AR1485" s="4"/>
      <c r="AS1485" s="4"/>
      <c r="AT1485" s="4"/>
      <c r="AU1485" s="4"/>
      <c r="AV1485" s="4"/>
      <c r="AW1485" s="4"/>
      <c r="AX1485" s="4"/>
      <c r="AY1485" s="4"/>
      <c r="AZ1485" s="4"/>
      <c r="BA1485" s="4"/>
      <c r="BB1485" s="4"/>
      <c r="BC1485" s="4"/>
      <c r="BD1485" s="4"/>
      <c r="BE1485" s="4"/>
      <c r="BF1485" s="4"/>
      <c r="BG1485" s="4"/>
      <c r="BH1485" s="4"/>
      <c r="BI1485" s="4"/>
      <c r="BJ1485" s="4"/>
      <c r="BK1485" s="4"/>
      <c r="BL1485" s="4"/>
      <c r="BM1485" s="4"/>
      <c r="BN1485" s="4"/>
      <c r="BO1485" s="4"/>
      <c r="BP1485" s="4"/>
      <c r="BQ1485" s="4"/>
      <c r="BR1485" s="4"/>
      <c r="BS1485" s="4"/>
      <c r="BT1485" s="4"/>
      <c r="BU1485" s="4"/>
      <c r="BV1485" s="4"/>
      <c r="BW1485" s="4"/>
      <c r="BX1485" s="4"/>
      <c r="BY1485" s="4"/>
      <c r="BZ1485" s="4"/>
      <c r="CA1485" s="4"/>
      <c r="CB1485" s="4"/>
      <c r="CC1485" s="4"/>
      <c r="CD1485" s="4"/>
      <c r="CE1485" s="4"/>
      <c r="CF1485" s="4"/>
      <c r="CG1485" s="4"/>
      <c r="CH1485" s="4"/>
      <c r="CI1485" s="4"/>
      <c r="CJ1485" s="4"/>
      <c r="CK1485" s="4"/>
      <c r="CL1485" s="4"/>
      <c r="CM1485" s="4"/>
      <c r="CN1485" s="6"/>
      <c r="CO1485" s="7"/>
      <c r="CP1485" s="6"/>
      <c r="CQ1485" s="7"/>
      <c r="CR1485" s="6"/>
      <c r="CS1485" s="7"/>
      <c r="CT1485" s="8">
        <f t="shared" si="373"/>
        <v>0</v>
      </c>
      <c r="CU1485" s="9"/>
      <c r="CV1485" s="10"/>
      <c r="CW1485" s="11"/>
      <c r="CX1485" s="12"/>
      <c r="CY1485" s="26"/>
      <c r="CZ1485" s="12"/>
      <c r="DA1485" s="9"/>
      <c r="DB1485" s="10"/>
      <c r="DC1485" s="64"/>
      <c r="DD1485" s="22"/>
    </row>
    <row r="1486" spans="1:108" s="119" customFormat="1" ht="22.5" outlineLevel="2">
      <c r="A1486" s="178">
        <v>40300</v>
      </c>
      <c r="B1486" s="82" t="s">
        <v>1768</v>
      </c>
      <c r="C1486" s="82" t="s">
        <v>1289</v>
      </c>
      <c r="D1486" s="165" t="s">
        <v>1262</v>
      </c>
      <c r="E1486" s="167"/>
      <c r="F1486" s="66"/>
      <c r="G1486" s="66"/>
      <c r="H1486" s="66">
        <v>15</v>
      </c>
      <c r="I1486" s="66">
        <v>3</v>
      </c>
      <c r="J1486" s="66"/>
      <c r="K1486" s="66">
        <v>3</v>
      </c>
      <c r="L1486" s="66"/>
      <c r="M1486" s="66"/>
      <c r="N1486" s="66"/>
      <c r="O1486" s="66"/>
      <c r="P1486" s="66"/>
      <c r="Q1486" s="66"/>
      <c r="R1486" s="66"/>
      <c r="S1486" s="66"/>
      <c r="T1486" s="67"/>
      <c r="U1486" s="151"/>
      <c r="V1486" s="1"/>
      <c r="W1486" s="68">
        <f t="shared" si="368"/>
        <v>0</v>
      </c>
      <c r="X1486" s="68">
        <f t="shared" si="369"/>
        <v>0</v>
      </c>
      <c r="Y1486" s="68">
        <f t="shared" si="370"/>
        <v>0</v>
      </c>
      <c r="Z1486" s="68">
        <f t="shared" si="371"/>
        <v>0</v>
      </c>
      <c r="AA1486" s="68"/>
      <c r="AB1486" s="68">
        <v>0</v>
      </c>
      <c r="AC1486" s="69">
        <f t="shared" si="372"/>
        <v>0</v>
      </c>
      <c r="AD1486" s="70">
        <v>0</v>
      </c>
      <c r="AE1486" s="63">
        <v>40301</v>
      </c>
      <c r="AF1486" s="72"/>
      <c r="AG1486" s="63" t="s">
        <v>938</v>
      </c>
      <c r="AH1486" s="23" t="s">
        <v>939</v>
      </c>
      <c r="AI1486" s="60"/>
      <c r="AJ1486" s="133" t="s">
        <v>1608</v>
      </c>
      <c r="AK1486" s="73" t="s">
        <v>1612</v>
      </c>
      <c r="AL1486" s="3"/>
      <c r="AM1486" s="4"/>
      <c r="AN1486" s="5"/>
      <c r="AO1486" s="4"/>
      <c r="AP1486" s="4"/>
      <c r="AQ1486" s="4"/>
      <c r="AR1486" s="4"/>
      <c r="AS1486" s="4"/>
      <c r="AT1486" s="4"/>
      <c r="AU1486" s="4"/>
      <c r="AV1486" s="4"/>
      <c r="AW1486" s="4"/>
      <c r="AX1486" s="4"/>
      <c r="AY1486" s="4"/>
      <c r="AZ1486" s="4"/>
      <c r="BA1486" s="4"/>
      <c r="BB1486" s="4"/>
      <c r="BC1486" s="4"/>
      <c r="BD1486" s="4"/>
      <c r="BE1486" s="4"/>
      <c r="BF1486" s="4"/>
      <c r="BG1486" s="4"/>
      <c r="BH1486" s="4"/>
      <c r="BI1486" s="4"/>
      <c r="BJ1486" s="4"/>
      <c r="BK1486" s="4"/>
      <c r="BL1486" s="4"/>
      <c r="BM1486" s="4"/>
      <c r="BN1486" s="4"/>
      <c r="BO1486" s="4"/>
      <c r="BP1486" s="4"/>
      <c r="BQ1486" s="4"/>
      <c r="BR1486" s="4"/>
      <c r="BS1486" s="4"/>
      <c r="BT1486" s="4"/>
      <c r="BU1486" s="4"/>
      <c r="BV1486" s="4"/>
      <c r="BW1486" s="4"/>
      <c r="BX1486" s="4"/>
      <c r="BY1486" s="4"/>
      <c r="BZ1486" s="4"/>
      <c r="CA1486" s="4"/>
      <c r="CB1486" s="4"/>
      <c r="CC1486" s="4"/>
      <c r="CD1486" s="4"/>
      <c r="CE1486" s="4"/>
      <c r="CF1486" s="4"/>
      <c r="CG1486" s="4"/>
      <c r="CH1486" s="4"/>
      <c r="CI1486" s="4"/>
      <c r="CJ1486" s="4"/>
      <c r="CK1486" s="4"/>
      <c r="CL1486" s="4"/>
      <c r="CM1486" s="4"/>
      <c r="CN1486" s="6"/>
      <c r="CO1486" s="7"/>
      <c r="CP1486" s="6"/>
      <c r="CQ1486" s="7"/>
      <c r="CR1486" s="6"/>
      <c r="CS1486" s="7"/>
      <c r="CT1486" s="8">
        <f t="shared" si="373"/>
        <v>0</v>
      </c>
      <c r="CU1486" s="9"/>
      <c r="CV1486" s="10"/>
      <c r="CW1486" s="11"/>
      <c r="CX1486" s="12"/>
      <c r="CY1486" s="26"/>
      <c r="CZ1486" s="12"/>
      <c r="DA1486" s="9"/>
      <c r="DB1486" s="10"/>
      <c r="DC1486" s="64"/>
      <c r="DD1486" s="22"/>
    </row>
    <row r="1487" spans="1:108" s="119" customFormat="1" ht="36" outlineLevel="2">
      <c r="A1487" s="178">
        <v>40300</v>
      </c>
      <c r="B1487" s="82" t="s">
        <v>1768</v>
      </c>
      <c r="C1487" s="82" t="s">
        <v>1865</v>
      </c>
      <c r="D1487" s="165" t="s">
        <v>1182</v>
      </c>
      <c r="E1487" s="167"/>
      <c r="F1487" s="66"/>
      <c r="G1487" s="66"/>
      <c r="H1487" s="66"/>
      <c r="I1487" s="66"/>
      <c r="J1487" s="66"/>
      <c r="K1487" s="66"/>
      <c r="L1487" s="66">
        <v>1</v>
      </c>
      <c r="M1487" s="66"/>
      <c r="N1487" s="66"/>
      <c r="O1487" s="66"/>
      <c r="P1487" s="66"/>
      <c r="Q1487" s="66"/>
      <c r="R1487" s="66"/>
      <c r="S1487" s="66"/>
      <c r="T1487" s="67"/>
      <c r="U1487" s="151"/>
      <c r="V1487" s="1"/>
      <c r="W1487" s="68">
        <f t="shared" si="368"/>
        <v>0</v>
      </c>
      <c r="X1487" s="68">
        <f t="shared" si="369"/>
        <v>0</v>
      </c>
      <c r="Y1487" s="68">
        <f t="shared" si="370"/>
        <v>0</v>
      </c>
      <c r="Z1487" s="68">
        <f t="shared" si="371"/>
        <v>0</v>
      </c>
      <c r="AA1487" s="68"/>
      <c r="AB1487" s="68">
        <v>0</v>
      </c>
      <c r="AC1487" s="69">
        <f t="shared" si="372"/>
        <v>0</v>
      </c>
      <c r="AD1487" s="70">
        <v>0</v>
      </c>
      <c r="AE1487" s="63">
        <v>40301</v>
      </c>
      <c r="AF1487" s="72"/>
      <c r="AG1487" s="63" t="s">
        <v>938</v>
      </c>
      <c r="AH1487" s="23" t="s">
        <v>939</v>
      </c>
      <c r="AI1487" s="60"/>
      <c r="AJ1487" s="133" t="s">
        <v>1608</v>
      </c>
      <c r="AK1487" s="73" t="s">
        <v>1866</v>
      </c>
      <c r="AL1487" s="3"/>
      <c r="AM1487" s="4"/>
      <c r="AN1487" s="5"/>
      <c r="AO1487" s="4"/>
      <c r="AP1487" s="4"/>
      <c r="AQ1487" s="4"/>
      <c r="AR1487" s="4"/>
      <c r="AS1487" s="4"/>
      <c r="AT1487" s="4"/>
      <c r="AU1487" s="4"/>
      <c r="AV1487" s="4"/>
      <c r="AW1487" s="4"/>
      <c r="AX1487" s="4"/>
      <c r="AY1487" s="4"/>
      <c r="AZ1487" s="4"/>
      <c r="BA1487" s="4"/>
      <c r="BB1487" s="4"/>
      <c r="BC1487" s="4"/>
      <c r="BD1487" s="4"/>
      <c r="BE1487" s="4"/>
      <c r="BF1487" s="4"/>
      <c r="BG1487" s="4"/>
      <c r="BH1487" s="4"/>
      <c r="BI1487" s="4"/>
      <c r="BJ1487" s="4"/>
      <c r="BK1487" s="4"/>
      <c r="BL1487" s="4"/>
      <c r="BM1487" s="4"/>
      <c r="BN1487" s="4"/>
      <c r="BO1487" s="4"/>
      <c r="BP1487" s="4"/>
      <c r="BQ1487" s="4"/>
      <c r="BR1487" s="4"/>
      <c r="BS1487" s="4"/>
      <c r="BT1487" s="4"/>
      <c r="BU1487" s="4"/>
      <c r="BV1487" s="4"/>
      <c r="BW1487" s="4"/>
      <c r="BX1487" s="4"/>
      <c r="BY1487" s="4"/>
      <c r="BZ1487" s="4"/>
      <c r="CA1487" s="4"/>
      <c r="CB1487" s="4"/>
      <c r="CC1487" s="4"/>
      <c r="CD1487" s="4"/>
      <c r="CE1487" s="4"/>
      <c r="CF1487" s="4"/>
      <c r="CG1487" s="4"/>
      <c r="CH1487" s="4"/>
      <c r="CI1487" s="4"/>
      <c r="CJ1487" s="4"/>
      <c r="CK1487" s="4"/>
      <c r="CL1487" s="4"/>
      <c r="CM1487" s="4"/>
      <c r="CN1487" s="6"/>
      <c r="CO1487" s="7"/>
      <c r="CP1487" s="6"/>
      <c r="CQ1487" s="7"/>
      <c r="CR1487" s="6"/>
      <c r="CS1487" s="7"/>
      <c r="CT1487" s="8">
        <f t="shared" si="373"/>
        <v>0</v>
      </c>
      <c r="CU1487" s="9"/>
      <c r="CV1487" s="10"/>
      <c r="CW1487" s="11"/>
      <c r="CX1487" s="12"/>
      <c r="CY1487" s="26"/>
      <c r="CZ1487" s="12"/>
      <c r="DA1487" s="9"/>
      <c r="DB1487" s="10"/>
      <c r="DC1487" s="64"/>
      <c r="DD1487" s="22"/>
    </row>
    <row r="1488" spans="1:108" s="119" customFormat="1" ht="24" outlineLevel="2">
      <c r="A1488" s="178">
        <v>40300</v>
      </c>
      <c r="B1488" s="82" t="s">
        <v>1768</v>
      </c>
      <c r="C1488" s="82" t="s">
        <v>1089</v>
      </c>
      <c r="D1488" s="165" t="s">
        <v>1262</v>
      </c>
      <c r="E1488" s="167"/>
      <c r="F1488" s="66"/>
      <c r="G1488" s="66"/>
      <c r="H1488" s="66">
        <v>35</v>
      </c>
      <c r="I1488" s="66">
        <v>7</v>
      </c>
      <c r="J1488" s="66"/>
      <c r="K1488" s="66">
        <v>7</v>
      </c>
      <c r="L1488" s="66"/>
      <c r="M1488" s="66"/>
      <c r="N1488" s="66"/>
      <c r="O1488" s="66"/>
      <c r="P1488" s="66"/>
      <c r="Q1488" s="66"/>
      <c r="R1488" s="66"/>
      <c r="S1488" s="66"/>
      <c r="T1488" s="67"/>
      <c r="U1488" s="151"/>
      <c r="V1488" s="1"/>
      <c r="W1488" s="68">
        <f t="shared" si="368"/>
        <v>0</v>
      </c>
      <c r="X1488" s="68">
        <f t="shared" si="369"/>
        <v>0</v>
      </c>
      <c r="Y1488" s="68">
        <f t="shared" si="370"/>
        <v>0</v>
      </c>
      <c r="Z1488" s="68">
        <f t="shared" si="371"/>
        <v>0</v>
      </c>
      <c r="AA1488" s="68"/>
      <c r="AB1488" s="68">
        <v>0</v>
      </c>
      <c r="AC1488" s="69">
        <f t="shared" si="372"/>
        <v>0</v>
      </c>
      <c r="AD1488" s="70">
        <v>0</v>
      </c>
      <c r="AE1488" s="63">
        <v>40301</v>
      </c>
      <c r="AF1488" s="72"/>
      <c r="AG1488" s="63" t="s">
        <v>938</v>
      </c>
      <c r="AH1488" s="23" t="s">
        <v>939</v>
      </c>
      <c r="AI1488" s="60"/>
      <c r="AJ1488" s="133" t="s">
        <v>1608</v>
      </c>
      <c r="AK1488" s="73" t="s">
        <v>1864</v>
      </c>
      <c r="AL1488" s="3"/>
      <c r="AM1488" s="4"/>
      <c r="AN1488" s="5"/>
      <c r="AO1488" s="4"/>
      <c r="AP1488" s="4"/>
      <c r="AQ1488" s="4"/>
      <c r="AR1488" s="4"/>
      <c r="AS1488" s="4"/>
      <c r="AT1488" s="4"/>
      <c r="AU1488" s="4"/>
      <c r="AV1488" s="4"/>
      <c r="AW1488" s="4"/>
      <c r="AX1488" s="4"/>
      <c r="AY1488" s="4"/>
      <c r="AZ1488" s="4"/>
      <c r="BA1488" s="4"/>
      <c r="BB1488" s="4"/>
      <c r="BC1488" s="4"/>
      <c r="BD1488" s="4"/>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c r="CA1488" s="4"/>
      <c r="CB1488" s="4"/>
      <c r="CC1488" s="4"/>
      <c r="CD1488" s="4"/>
      <c r="CE1488" s="4"/>
      <c r="CF1488" s="4"/>
      <c r="CG1488" s="4"/>
      <c r="CH1488" s="4"/>
      <c r="CI1488" s="4"/>
      <c r="CJ1488" s="4"/>
      <c r="CK1488" s="4"/>
      <c r="CL1488" s="4"/>
      <c r="CM1488" s="4"/>
      <c r="CN1488" s="6"/>
      <c r="CO1488" s="7"/>
      <c r="CP1488" s="6"/>
      <c r="CQ1488" s="7"/>
      <c r="CR1488" s="6"/>
      <c r="CS1488" s="7"/>
      <c r="CT1488" s="8">
        <f t="shared" si="373"/>
        <v>0</v>
      </c>
      <c r="CU1488" s="9"/>
      <c r="CV1488" s="10"/>
      <c r="CW1488" s="11"/>
      <c r="CX1488" s="12"/>
      <c r="CY1488" s="26"/>
      <c r="CZ1488" s="12"/>
      <c r="DA1488" s="9"/>
      <c r="DB1488" s="10"/>
      <c r="DC1488" s="64"/>
      <c r="DD1488" s="22"/>
    </row>
    <row r="1489" spans="1:108" s="119" customFormat="1" ht="36" outlineLevel="2">
      <c r="A1489" s="178">
        <v>40301</v>
      </c>
      <c r="B1489" s="82" t="s">
        <v>1768</v>
      </c>
      <c r="C1489" s="82" t="s">
        <v>1527</v>
      </c>
      <c r="D1489" s="165" t="s">
        <v>1262</v>
      </c>
      <c r="E1489" s="167"/>
      <c r="F1489" s="66"/>
      <c r="G1489" s="66"/>
      <c r="H1489" s="66">
        <v>20</v>
      </c>
      <c r="I1489" s="66">
        <v>4</v>
      </c>
      <c r="J1489" s="66"/>
      <c r="K1489" s="66">
        <v>4</v>
      </c>
      <c r="L1489" s="66"/>
      <c r="M1489" s="66"/>
      <c r="N1489" s="66"/>
      <c r="O1489" s="66"/>
      <c r="P1489" s="66"/>
      <c r="Q1489" s="66"/>
      <c r="R1489" s="66"/>
      <c r="S1489" s="66"/>
      <c r="T1489" s="67"/>
      <c r="U1489" s="151"/>
      <c r="V1489" s="1"/>
      <c r="W1489" s="68">
        <f t="shared" si="368"/>
        <v>0</v>
      </c>
      <c r="X1489" s="68">
        <f t="shared" si="369"/>
        <v>0</v>
      </c>
      <c r="Y1489" s="68">
        <f t="shared" si="370"/>
        <v>0</v>
      </c>
      <c r="Z1489" s="68">
        <f t="shared" si="371"/>
        <v>0</v>
      </c>
      <c r="AA1489" s="68"/>
      <c r="AB1489" s="68">
        <v>0</v>
      </c>
      <c r="AC1489" s="69">
        <f t="shared" si="372"/>
        <v>0</v>
      </c>
      <c r="AD1489" s="70">
        <v>0</v>
      </c>
      <c r="AE1489" s="63">
        <v>40302</v>
      </c>
      <c r="AF1489" s="72"/>
      <c r="AG1489" s="63" t="s">
        <v>938</v>
      </c>
      <c r="AH1489" s="23" t="s">
        <v>939</v>
      </c>
      <c r="AI1489" s="60"/>
      <c r="AJ1489" s="133" t="s">
        <v>1608</v>
      </c>
      <c r="AK1489" s="73" t="s">
        <v>1528</v>
      </c>
      <c r="AL1489" s="3"/>
      <c r="AM1489" s="4"/>
      <c r="AN1489" s="5"/>
      <c r="AO1489" s="4"/>
      <c r="AP1489" s="4"/>
      <c r="AQ1489" s="4"/>
      <c r="AR1489" s="4"/>
      <c r="AS1489" s="4"/>
      <c r="AT1489" s="4"/>
      <c r="AU1489" s="4"/>
      <c r="AV1489" s="4"/>
      <c r="AW1489" s="4"/>
      <c r="AX1489" s="4"/>
      <c r="AY1489" s="4"/>
      <c r="AZ1489" s="4"/>
      <c r="BA1489" s="4"/>
      <c r="BB1489" s="4"/>
      <c r="BC1489" s="4"/>
      <c r="BD1489" s="4"/>
      <c r="BE1489" s="4"/>
      <c r="BF1489" s="4"/>
      <c r="BG1489" s="4"/>
      <c r="BH1489" s="4"/>
      <c r="BI1489" s="4"/>
      <c r="BJ1489" s="4"/>
      <c r="BK1489" s="4"/>
      <c r="BL1489" s="4"/>
      <c r="BM1489" s="4"/>
      <c r="BN1489" s="4"/>
      <c r="BO1489" s="4"/>
      <c r="BP1489" s="4"/>
      <c r="BQ1489" s="4"/>
      <c r="BR1489" s="4"/>
      <c r="BS1489" s="4"/>
      <c r="BT1489" s="4"/>
      <c r="BU1489" s="4"/>
      <c r="BV1489" s="4"/>
      <c r="BW1489" s="4"/>
      <c r="BX1489" s="4"/>
      <c r="BY1489" s="4"/>
      <c r="BZ1489" s="4"/>
      <c r="CA1489" s="4"/>
      <c r="CB1489" s="4"/>
      <c r="CC1489" s="4"/>
      <c r="CD1489" s="4"/>
      <c r="CE1489" s="4"/>
      <c r="CF1489" s="4"/>
      <c r="CG1489" s="4"/>
      <c r="CH1489" s="4"/>
      <c r="CI1489" s="4"/>
      <c r="CJ1489" s="4"/>
      <c r="CK1489" s="4"/>
      <c r="CL1489" s="4"/>
      <c r="CM1489" s="4"/>
      <c r="CN1489" s="6"/>
      <c r="CO1489" s="7"/>
      <c r="CP1489" s="6"/>
      <c r="CQ1489" s="7"/>
      <c r="CR1489" s="6"/>
      <c r="CS1489" s="7"/>
      <c r="CT1489" s="8">
        <f t="shared" si="373"/>
        <v>0</v>
      </c>
      <c r="CU1489" s="9"/>
      <c r="CV1489" s="10"/>
      <c r="CW1489" s="11"/>
      <c r="CX1489" s="12"/>
      <c r="CY1489" s="26"/>
      <c r="CZ1489" s="12"/>
      <c r="DA1489" s="9"/>
      <c r="DB1489" s="10"/>
      <c r="DC1489" s="64"/>
      <c r="DD1489" s="22"/>
    </row>
    <row r="1490" spans="1:108" s="119" customFormat="1" ht="48" outlineLevel="2">
      <c r="A1490" s="178">
        <v>40302</v>
      </c>
      <c r="B1490" s="82" t="s">
        <v>1768</v>
      </c>
      <c r="C1490" s="82" t="s">
        <v>1622</v>
      </c>
      <c r="D1490" s="165" t="s">
        <v>1262</v>
      </c>
      <c r="E1490" s="167"/>
      <c r="F1490" s="66"/>
      <c r="G1490" s="66"/>
      <c r="H1490" s="66">
        <v>10980</v>
      </c>
      <c r="I1490" s="66">
        <v>3020</v>
      </c>
      <c r="J1490" s="66"/>
      <c r="K1490" s="66">
        <v>3020</v>
      </c>
      <c r="L1490" s="66"/>
      <c r="M1490" s="66"/>
      <c r="N1490" s="66"/>
      <c r="O1490" s="66"/>
      <c r="P1490" s="66"/>
      <c r="Q1490" s="66"/>
      <c r="R1490" s="66"/>
      <c r="S1490" s="66"/>
      <c r="T1490" s="67"/>
      <c r="U1490" s="151"/>
      <c r="V1490" s="1"/>
      <c r="W1490" s="68">
        <f t="shared" si="368"/>
        <v>0</v>
      </c>
      <c r="X1490" s="68">
        <f t="shared" si="369"/>
        <v>0</v>
      </c>
      <c r="Y1490" s="68">
        <f t="shared" si="370"/>
        <v>0</v>
      </c>
      <c r="Z1490" s="68">
        <f t="shared" si="371"/>
        <v>0</v>
      </c>
      <c r="AA1490" s="68"/>
      <c r="AB1490" s="68">
        <v>0</v>
      </c>
      <c r="AC1490" s="69">
        <f t="shared" si="372"/>
        <v>0</v>
      </c>
      <c r="AD1490" s="70">
        <v>0</v>
      </c>
      <c r="AE1490" s="63">
        <v>40302</v>
      </c>
      <c r="AF1490" s="72"/>
      <c r="AG1490" s="63" t="s">
        <v>938</v>
      </c>
      <c r="AH1490" s="23" t="s">
        <v>939</v>
      </c>
      <c r="AI1490" s="60"/>
      <c r="AJ1490" s="133" t="s">
        <v>1608</v>
      </c>
      <c r="AK1490" s="73" t="s">
        <v>1592</v>
      </c>
      <c r="AL1490" s="3"/>
      <c r="AM1490" s="4"/>
      <c r="AN1490" s="5"/>
      <c r="AO1490" s="4"/>
      <c r="AP1490" s="4"/>
      <c r="AQ1490" s="4"/>
      <c r="AR1490" s="4"/>
      <c r="AS1490" s="4"/>
      <c r="AT1490" s="4"/>
      <c r="AU1490" s="4"/>
      <c r="AV1490" s="4"/>
      <c r="AW1490" s="4"/>
      <c r="AX1490" s="4"/>
      <c r="AY1490" s="4"/>
      <c r="AZ1490" s="4"/>
      <c r="BA1490" s="4"/>
      <c r="BB1490" s="4"/>
      <c r="BC1490" s="4"/>
      <c r="BD1490" s="4"/>
      <c r="BE1490" s="4"/>
      <c r="BF1490" s="4"/>
      <c r="BG1490" s="4"/>
      <c r="BH1490" s="4"/>
      <c r="BI1490" s="4"/>
      <c r="BJ1490" s="4"/>
      <c r="BK1490" s="4"/>
      <c r="BL1490" s="4"/>
      <c r="BM1490" s="4"/>
      <c r="BN1490" s="4"/>
      <c r="BO1490" s="4"/>
      <c r="BP1490" s="4"/>
      <c r="BQ1490" s="4"/>
      <c r="BR1490" s="4"/>
      <c r="BS1490" s="4"/>
      <c r="BT1490" s="4"/>
      <c r="BU1490" s="4"/>
      <c r="BV1490" s="4"/>
      <c r="BW1490" s="4"/>
      <c r="BX1490" s="4"/>
      <c r="BY1490" s="4"/>
      <c r="BZ1490" s="4"/>
      <c r="CA1490" s="4"/>
      <c r="CB1490" s="4"/>
      <c r="CC1490" s="4"/>
      <c r="CD1490" s="4"/>
      <c r="CE1490" s="4"/>
      <c r="CF1490" s="4"/>
      <c r="CG1490" s="4"/>
      <c r="CH1490" s="4"/>
      <c r="CI1490" s="4"/>
      <c r="CJ1490" s="4"/>
      <c r="CK1490" s="4"/>
      <c r="CL1490" s="4"/>
      <c r="CM1490" s="4"/>
      <c r="CN1490" s="6"/>
      <c r="CO1490" s="7"/>
      <c r="CP1490" s="6"/>
      <c r="CQ1490" s="7"/>
      <c r="CR1490" s="6"/>
      <c r="CS1490" s="7"/>
      <c r="CT1490" s="8">
        <f t="shared" si="373"/>
        <v>0</v>
      </c>
      <c r="CU1490" s="9"/>
      <c r="CV1490" s="10"/>
      <c r="CW1490" s="11"/>
      <c r="CX1490" s="12"/>
      <c r="CY1490" s="26"/>
      <c r="CZ1490" s="12"/>
      <c r="DA1490" s="9"/>
      <c r="DB1490" s="10"/>
      <c r="DC1490" s="64"/>
      <c r="DD1490" s="22"/>
    </row>
    <row r="1491" spans="1:108" s="119" customFormat="1" ht="45" outlineLevel="2">
      <c r="A1491" s="178">
        <v>40308</v>
      </c>
      <c r="B1491" s="82" t="s">
        <v>1768</v>
      </c>
      <c r="C1491" s="82" t="s">
        <v>537</v>
      </c>
      <c r="D1491" s="165" t="s">
        <v>435</v>
      </c>
      <c r="E1491" s="167"/>
      <c r="F1491" s="66"/>
      <c r="G1491" s="66"/>
      <c r="H1491" s="66">
        <f>15*5</f>
        <v>75</v>
      </c>
      <c r="I1491" s="66">
        <v>15</v>
      </c>
      <c r="J1491" s="66"/>
      <c r="K1491" s="66">
        <v>15</v>
      </c>
      <c r="L1491" s="66"/>
      <c r="M1491" s="66"/>
      <c r="N1491" s="66"/>
      <c r="O1491" s="66"/>
      <c r="P1491" s="66"/>
      <c r="Q1491" s="66"/>
      <c r="R1491" s="66"/>
      <c r="S1491" s="66"/>
      <c r="T1491" s="67"/>
      <c r="U1491" s="151"/>
      <c r="V1491" s="1">
        <v>40330</v>
      </c>
      <c r="W1491" s="68">
        <f t="shared" si="368"/>
        <v>1680000</v>
      </c>
      <c r="X1491" s="68">
        <f t="shared" si="369"/>
        <v>1275000</v>
      </c>
      <c r="Y1491" s="68">
        <f t="shared" si="370"/>
        <v>3132000</v>
      </c>
      <c r="Z1491" s="68">
        <f t="shared" si="371"/>
        <v>0</v>
      </c>
      <c r="AA1491" s="68"/>
      <c r="AB1491" s="68">
        <v>0</v>
      </c>
      <c r="AC1491" s="69">
        <f t="shared" si="372"/>
        <v>6087000</v>
      </c>
      <c r="AD1491" s="70">
        <v>0</v>
      </c>
      <c r="AE1491" s="63">
        <v>40317</v>
      </c>
      <c r="AF1491" s="72">
        <v>97589</v>
      </c>
      <c r="AG1491" s="63" t="s">
        <v>954</v>
      </c>
      <c r="AH1491" s="23" t="s">
        <v>955</v>
      </c>
      <c r="AI1491" s="75" t="s">
        <v>981</v>
      </c>
      <c r="AJ1491" s="133" t="s">
        <v>415</v>
      </c>
      <c r="AK1491" s="73" t="s">
        <v>538</v>
      </c>
      <c r="AL1491" s="3"/>
      <c r="AM1491" s="4"/>
      <c r="AN1491" s="5"/>
      <c r="AO1491" s="4"/>
      <c r="AP1491" s="4"/>
      <c r="AQ1491" s="4"/>
      <c r="AR1491" s="4"/>
      <c r="AS1491" s="4"/>
      <c r="AT1491" s="4"/>
      <c r="AU1491" s="4"/>
      <c r="AV1491" s="4"/>
      <c r="AW1491" s="4"/>
      <c r="AX1491" s="4">
        <v>30</v>
      </c>
      <c r="AY1491" s="4">
        <f>30*56000</f>
        <v>1680000</v>
      </c>
      <c r="AZ1491" s="4"/>
      <c r="BA1491" s="4"/>
      <c r="BB1491" s="4"/>
      <c r="BC1491" s="4"/>
      <c r="BD1491" s="4"/>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c r="CA1491" s="4"/>
      <c r="CB1491" s="4"/>
      <c r="CC1491" s="4"/>
      <c r="CD1491" s="4"/>
      <c r="CE1491" s="4"/>
      <c r="CF1491" s="4"/>
      <c r="CG1491" s="4"/>
      <c r="CH1491" s="4"/>
      <c r="CI1491" s="4"/>
      <c r="CJ1491" s="4"/>
      <c r="CK1491" s="4"/>
      <c r="CL1491" s="4"/>
      <c r="CM1491" s="4"/>
      <c r="CN1491" s="6"/>
      <c r="CO1491" s="7"/>
      <c r="CP1491" s="6"/>
      <c r="CQ1491" s="7"/>
      <c r="CR1491" s="6"/>
      <c r="CS1491" s="7"/>
      <c r="CT1491" s="8">
        <f t="shared" si="373"/>
        <v>1680000</v>
      </c>
      <c r="CU1491" s="9"/>
      <c r="CV1491" s="10"/>
      <c r="CW1491" s="11">
        <v>15</v>
      </c>
      <c r="CX1491" s="12">
        <f>15*85000</f>
        <v>1275000</v>
      </c>
      <c r="CY1491" s="26"/>
      <c r="CZ1491" s="12"/>
      <c r="DA1491" s="9">
        <v>150</v>
      </c>
      <c r="DB1491" s="10">
        <f>150*18792+600*522</f>
        <v>3132000</v>
      </c>
      <c r="DC1491" s="64"/>
      <c r="DD1491" s="22"/>
    </row>
    <row r="1492" spans="1:108" s="119" customFormat="1" ht="48" outlineLevel="2">
      <c r="A1492" s="178">
        <v>40309</v>
      </c>
      <c r="B1492" s="82" t="s">
        <v>1768</v>
      </c>
      <c r="C1492" s="82" t="s">
        <v>1532</v>
      </c>
      <c r="D1492" s="165" t="s">
        <v>435</v>
      </c>
      <c r="E1492" s="167"/>
      <c r="F1492" s="66"/>
      <c r="G1492" s="66"/>
      <c r="H1492" s="66">
        <v>1000</v>
      </c>
      <c r="I1492" s="66">
        <v>200</v>
      </c>
      <c r="J1492" s="66"/>
      <c r="K1492" s="66">
        <v>200</v>
      </c>
      <c r="L1492" s="66"/>
      <c r="M1492" s="66"/>
      <c r="N1492" s="66"/>
      <c r="O1492" s="66"/>
      <c r="P1492" s="66"/>
      <c r="Q1492" s="66"/>
      <c r="R1492" s="66"/>
      <c r="S1492" s="66"/>
      <c r="T1492" s="67"/>
      <c r="U1492" s="151"/>
      <c r="V1492" s="1">
        <v>40330</v>
      </c>
      <c r="W1492" s="68">
        <f t="shared" si="368"/>
        <v>22400000</v>
      </c>
      <c r="X1492" s="68">
        <f t="shared" si="369"/>
        <v>17000000</v>
      </c>
      <c r="Y1492" s="68">
        <f t="shared" si="370"/>
        <v>20880000</v>
      </c>
      <c r="Z1492" s="68">
        <f t="shared" si="371"/>
        <v>0</v>
      </c>
      <c r="AA1492" s="68"/>
      <c r="AB1492" s="68">
        <v>0</v>
      </c>
      <c r="AC1492" s="69">
        <f t="shared" si="372"/>
        <v>60280000</v>
      </c>
      <c r="AD1492" s="70">
        <v>0</v>
      </c>
      <c r="AE1492" s="63">
        <v>40317</v>
      </c>
      <c r="AF1492" s="72">
        <v>97589</v>
      </c>
      <c r="AG1492" s="63" t="s">
        <v>954</v>
      </c>
      <c r="AH1492" s="23" t="s">
        <v>955</v>
      </c>
      <c r="AI1492" s="75" t="s">
        <v>981</v>
      </c>
      <c r="AJ1492" s="133" t="s">
        <v>415</v>
      </c>
      <c r="AK1492" s="73" t="s">
        <v>2304</v>
      </c>
      <c r="AL1492" s="3"/>
      <c r="AM1492" s="4"/>
      <c r="AN1492" s="5"/>
      <c r="AO1492" s="4"/>
      <c r="AP1492" s="4"/>
      <c r="AQ1492" s="4"/>
      <c r="AR1492" s="4"/>
      <c r="AS1492" s="4"/>
      <c r="AT1492" s="4"/>
      <c r="AU1492" s="4"/>
      <c r="AV1492" s="4"/>
      <c r="AW1492" s="4"/>
      <c r="AX1492" s="4">
        <v>400</v>
      </c>
      <c r="AY1492" s="4">
        <f>400*56000</f>
        <v>22400000</v>
      </c>
      <c r="AZ1492" s="4"/>
      <c r="BA1492" s="4"/>
      <c r="BB1492" s="4"/>
      <c r="BC1492" s="4"/>
      <c r="BD1492" s="4"/>
      <c r="BE1492" s="4"/>
      <c r="BF1492" s="4"/>
      <c r="BG1492" s="4"/>
      <c r="BH1492" s="4"/>
      <c r="BI1492" s="4"/>
      <c r="BJ1492" s="4"/>
      <c r="BK1492" s="4"/>
      <c r="BL1492" s="4"/>
      <c r="BM1492" s="4"/>
      <c r="BN1492" s="4"/>
      <c r="BO1492" s="4"/>
      <c r="BP1492" s="4"/>
      <c r="BQ1492" s="4"/>
      <c r="BR1492" s="4"/>
      <c r="BS1492" s="4"/>
      <c r="BT1492" s="4"/>
      <c r="BU1492" s="4"/>
      <c r="BV1492" s="4"/>
      <c r="BW1492" s="4"/>
      <c r="BX1492" s="4"/>
      <c r="BY1492" s="4"/>
      <c r="BZ1492" s="4"/>
      <c r="CA1492" s="4"/>
      <c r="CB1492" s="4"/>
      <c r="CC1492" s="4"/>
      <c r="CD1492" s="4"/>
      <c r="CE1492" s="4"/>
      <c r="CF1492" s="4"/>
      <c r="CG1492" s="4"/>
      <c r="CH1492" s="4"/>
      <c r="CI1492" s="4"/>
      <c r="CJ1492" s="4"/>
      <c r="CK1492" s="4"/>
      <c r="CL1492" s="4"/>
      <c r="CM1492" s="4"/>
      <c r="CN1492" s="6"/>
      <c r="CO1492" s="7"/>
      <c r="CP1492" s="6"/>
      <c r="CQ1492" s="7"/>
      <c r="CR1492" s="6"/>
      <c r="CS1492" s="7"/>
      <c r="CT1492" s="8">
        <f t="shared" si="373"/>
        <v>22400000</v>
      </c>
      <c r="CU1492" s="9"/>
      <c r="CV1492" s="10"/>
      <c r="CW1492" s="11">
        <v>200</v>
      </c>
      <c r="CX1492" s="12">
        <f>200*85000</f>
        <v>17000000</v>
      </c>
      <c r="CY1492" s="26"/>
      <c r="CZ1492" s="12"/>
      <c r="DA1492" s="9">
        <v>1000</v>
      </c>
      <c r="DB1492" s="10">
        <f>1000*18792+4000*522</f>
        <v>20880000</v>
      </c>
      <c r="DC1492" s="64"/>
      <c r="DD1492" s="22"/>
    </row>
    <row r="1493" spans="1:108" s="119" customFormat="1" ht="22.5" outlineLevel="2">
      <c r="A1493" s="178">
        <v>40309</v>
      </c>
      <c r="B1493" s="82" t="s">
        <v>1768</v>
      </c>
      <c r="C1493" s="82" t="s">
        <v>1989</v>
      </c>
      <c r="D1493" s="165" t="s">
        <v>435</v>
      </c>
      <c r="E1493" s="167"/>
      <c r="F1493" s="66"/>
      <c r="G1493" s="66"/>
      <c r="H1493" s="66">
        <v>25</v>
      </c>
      <c r="I1493" s="66">
        <v>5</v>
      </c>
      <c r="J1493" s="66"/>
      <c r="K1493" s="66">
        <v>5</v>
      </c>
      <c r="L1493" s="66"/>
      <c r="M1493" s="66"/>
      <c r="N1493" s="66"/>
      <c r="O1493" s="66"/>
      <c r="P1493" s="66"/>
      <c r="Q1493" s="66"/>
      <c r="R1493" s="66"/>
      <c r="S1493" s="66"/>
      <c r="T1493" s="67"/>
      <c r="U1493" s="151"/>
      <c r="V1493" s="1"/>
      <c r="W1493" s="68">
        <f t="shared" si="368"/>
        <v>0</v>
      </c>
      <c r="X1493" s="68">
        <f t="shared" si="369"/>
        <v>0</v>
      </c>
      <c r="Y1493" s="68">
        <f t="shared" si="370"/>
        <v>0</v>
      </c>
      <c r="Z1493" s="68">
        <f t="shared" si="371"/>
        <v>0</v>
      </c>
      <c r="AA1493" s="68"/>
      <c r="AB1493" s="68">
        <v>0</v>
      </c>
      <c r="AC1493" s="69">
        <f t="shared" si="372"/>
        <v>0</v>
      </c>
      <c r="AD1493" s="70">
        <v>0</v>
      </c>
      <c r="AE1493" s="63">
        <v>40389</v>
      </c>
      <c r="AF1493" s="72">
        <v>38013</v>
      </c>
      <c r="AG1493" s="63" t="s">
        <v>938</v>
      </c>
      <c r="AH1493" s="23" t="s">
        <v>939</v>
      </c>
      <c r="AI1493" s="60"/>
      <c r="AJ1493" s="133" t="s">
        <v>1608</v>
      </c>
      <c r="AK1493" s="73" t="s">
        <v>1612</v>
      </c>
      <c r="AL1493" s="3"/>
      <c r="AM1493" s="4"/>
      <c r="AN1493" s="5"/>
      <c r="AO1493" s="4"/>
      <c r="AP1493" s="4"/>
      <c r="AQ1493" s="4"/>
      <c r="AR1493" s="4"/>
      <c r="AS1493" s="4"/>
      <c r="AT1493" s="4"/>
      <c r="AU1493" s="4"/>
      <c r="AV1493" s="4"/>
      <c r="AW1493" s="4"/>
      <c r="AX1493" s="4"/>
      <c r="AY1493" s="4"/>
      <c r="AZ1493" s="4"/>
      <c r="BA1493" s="4"/>
      <c r="BB1493" s="4"/>
      <c r="BC1493" s="4"/>
      <c r="BD1493" s="4"/>
      <c r="BE1493" s="4"/>
      <c r="BF1493" s="4"/>
      <c r="BG1493" s="4"/>
      <c r="BH1493" s="4"/>
      <c r="BI1493" s="4"/>
      <c r="BJ1493" s="4"/>
      <c r="BK1493" s="4"/>
      <c r="BL1493" s="4"/>
      <c r="BM1493" s="4"/>
      <c r="BN1493" s="4"/>
      <c r="BO1493" s="4"/>
      <c r="BP1493" s="4"/>
      <c r="BQ1493" s="4"/>
      <c r="BR1493" s="4"/>
      <c r="BS1493" s="4"/>
      <c r="BT1493" s="4"/>
      <c r="BU1493" s="4"/>
      <c r="BV1493" s="4"/>
      <c r="BW1493" s="4"/>
      <c r="BX1493" s="4"/>
      <c r="BY1493" s="4"/>
      <c r="BZ1493" s="4"/>
      <c r="CA1493" s="4"/>
      <c r="CB1493" s="4"/>
      <c r="CC1493" s="4"/>
      <c r="CD1493" s="4"/>
      <c r="CE1493" s="4"/>
      <c r="CF1493" s="4"/>
      <c r="CG1493" s="4"/>
      <c r="CH1493" s="4"/>
      <c r="CI1493" s="4"/>
      <c r="CJ1493" s="4"/>
      <c r="CK1493" s="4"/>
      <c r="CL1493" s="4"/>
      <c r="CM1493" s="4"/>
      <c r="CN1493" s="6"/>
      <c r="CO1493" s="7"/>
      <c r="CP1493" s="6"/>
      <c r="CQ1493" s="7"/>
      <c r="CR1493" s="6"/>
      <c r="CS1493" s="7"/>
      <c r="CT1493" s="8">
        <f t="shared" si="373"/>
        <v>0</v>
      </c>
      <c r="CU1493" s="9"/>
      <c r="CV1493" s="10"/>
      <c r="CW1493" s="11"/>
      <c r="CX1493" s="12"/>
      <c r="CY1493" s="26"/>
      <c r="CZ1493" s="12"/>
      <c r="DA1493" s="9"/>
      <c r="DB1493" s="10"/>
      <c r="DC1493" s="64"/>
      <c r="DD1493" s="22"/>
    </row>
    <row r="1494" spans="1:108" s="119" customFormat="1" ht="36" outlineLevel="2">
      <c r="A1494" s="178">
        <v>40310</v>
      </c>
      <c r="B1494" s="82" t="s">
        <v>1768</v>
      </c>
      <c r="C1494" s="82" t="s">
        <v>583</v>
      </c>
      <c r="D1494" s="165" t="s">
        <v>435</v>
      </c>
      <c r="E1494" s="167"/>
      <c r="F1494" s="66"/>
      <c r="G1494" s="66"/>
      <c r="H1494" s="66">
        <f>25*5</f>
        <v>125</v>
      </c>
      <c r="I1494" s="66">
        <v>25</v>
      </c>
      <c r="J1494" s="66"/>
      <c r="K1494" s="66">
        <v>25</v>
      </c>
      <c r="L1494" s="66"/>
      <c r="M1494" s="66"/>
      <c r="N1494" s="66"/>
      <c r="O1494" s="66"/>
      <c r="P1494" s="66"/>
      <c r="Q1494" s="66"/>
      <c r="R1494" s="66"/>
      <c r="S1494" s="66">
        <v>1</v>
      </c>
      <c r="T1494" s="67"/>
      <c r="U1494" s="151"/>
      <c r="V1494" s="1">
        <v>40330</v>
      </c>
      <c r="W1494" s="68">
        <f t="shared" si="368"/>
        <v>2800000</v>
      </c>
      <c r="X1494" s="68">
        <f t="shared" si="369"/>
        <v>2125000</v>
      </c>
      <c r="Y1494" s="68">
        <f t="shared" si="370"/>
        <v>5220000</v>
      </c>
      <c r="Z1494" s="68">
        <f t="shared" si="371"/>
        <v>0</v>
      </c>
      <c r="AA1494" s="68"/>
      <c r="AB1494" s="68">
        <v>0</v>
      </c>
      <c r="AC1494" s="69">
        <f t="shared" si="372"/>
        <v>10145000</v>
      </c>
      <c r="AD1494" s="70">
        <v>0</v>
      </c>
      <c r="AE1494" s="63">
        <v>40311</v>
      </c>
      <c r="AF1494" s="72">
        <v>97589</v>
      </c>
      <c r="AG1494" s="63" t="s">
        <v>954</v>
      </c>
      <c r="AH1494" s="23" t="s">
        <v>955</v>
      </c>
      <c r="AI1494" s="75" t="s">
        <v>982</v>
      </c>
      <c r="AJ1494" s="133" t="s">
        <v>1476</v>
      </c>
      <c r="AK1494" s="73" t="s">
        <v>544</v>
      </c>
      <c r="AL1494" s="3"/>
      <c r="AM1494" s="4"/>
      <c r="AN1494" s="5"/>
      <c r="AO1494" s="4"/>
      <c r="AP1494" s="4"/>
      <c r="AQ1494" s="4"/>
      <c r="AR1494" s="4"/>
      <c r="AS1494" s="4"/>
      <c r="AT1494" s="4"/>
      <c r="AU1494" s="4"/>
      <c r="AV1494" s="4"/>
      <c r="AW1494" s="4"/>
      <c r="AX1494" s="4">
        <v>50</v>
      </c>
      <c r="AY1494" s="4">
        <f>50*56000</f>
        <v>2800000</v>
      </c>
      <c r="AZ1494" s="4"/>
      <c r="BA1494" s="4"/>
      <c r="BB1494" s="4"/>
      <c r="BC1494" s="4"/>
      <c r="BD1494" s="4"/>
      <c r="BE1494" s="4"/>
      <c r="BF1494" s="4"/>
      <c r="BG1494" s="4"/>
      <c r="BH1494" s="4"/>
      <c r="BI1494" s="4"/>
      <c r="BJ1494" s="4"/>
      <c r="BK1494" s="4"/>
      <c r="BL1494" s="4"/>
      <c r="BM1494" s="4"/>
      <c r="BN1494" s="4"/>
      <c r="BO1494" s="4"/>
      <c r="BP1494" s="4"/>
      <c r="BQ1494" s="4"/>
      <c r="BR1494" s="4"/>
      <c r="BS1494" s="4"/>
      <c r="BT1494" s="4"/>
      <c r="BU1494" s="4"/>
      <c r="BV1494" s="4"/>
      <c r="BW1494" s="4"/>
      <c r="BX1494" s="4"/>
      <c r="BY1494" s="4"/>
      <c r="BZ1494" s="4"/>
      <c r="CA1494" s="4"/>
      <c r="CB1494" s="4"/>
      <c r="CC1494" s="4"/>
      <c r="CD1494" s="4"/>
      <c r="CE1494" s="4"/>
      <c r="CF1494" s="4"/>
      <c r="CG1494" s="4"/>
      <c r="CH1494" s="4"/>
      <c r="CI1494" s="4"/>
      <c r="CJ1494" s="4"/>
      <c r="CK1494" s="4"/>
      <c r="CL1494" s="4"/>
      <c r="CM1494" s="4"/>
      <c r="CN1494" s="6"/>
      <c r="CO1494" s="7"/>
      <c r="CP1494" s="6"/>
      <c r="CQ1494" s="7"/>
      <c r="CR1494" s="6"/>
      <c r="CS1494" s="7"/>
      <c r="CT1494" s="8">
        <f t="shared" si="373"/>
        <v>2800000</v>
      </c>
      <c r="CU1494" s="9"/>
      <c r="CV1494" s="10"/>
      <c r="CW1494" s="11">
        <v>25</v>
      </c>
      <c r="CX1494" s="12">
        <f>25*85000</f>
        <v>2125000</v>
      </c>
      <c r="CY1494" s="26"/>
      <c r="CZ1494" s="12"/>
      <c r="DA1494" s="9">
        <v>250</v>
      </c>
      <c r="DB1494" s="10">
        <f>250*18792+1000*522</f>
        <v>5220000</v>
      </c>
      <c r="DC1494" s="64"/>
      <c r="DD1494" s="22"/>
    </row>
    <row r="1495" spans="1:108" s="119" customFormat="1" ht="36" outlineLevel="2">
      <c r="A1495" s="178">
        <v>40310</v>
      </c>
      <c r="B1495" s="82" t="s">
        <v>1768</v>
      </c>
      <c r="C1495" s="82" t="s">
        <v>1877</v>
      </c>
      <c r="D1495" s="165" t="s">
        <v>435</v>
      </c>
      <c r="E1495" s="167"/>
      <c r="F1495" s="66"/>
      <c r="G1495" s="66"/>
      <c r="H1495" s="66">
        <f>120*5</f>
        <v>600</v>
      </c>
      <c r="I1495" s="66">
        <v>120</v>
      </c>
      <c r="J1495" s="66"/>
      <c r="K1495" s="66">
        <v>120</v>
      </c>
      <c r="L1495" s="66"/>
      <c r="M1495" s="66"/>
      <c r="N1495" s="66"/>
      <c r="O1495" s="66"/>
      <c r="P1495" s="66"/>
      <c r="Q1495" s="66"/>
      <c r="R1495" s="66"/>
      <c r="S1495" s="66"/>
      <c r="T1495" s="67"/>
      <c r="U1495" s="151"/>
      <c r="V1495" s="1">
        <v>40330</v>
      </c>
      <c r="W1495" s="68">
        <f t="shared" si="368"/>
        <v>13440000</v>
      </c>
      <c r="X1495" s="68">
        <f t="shared" si="369"/>
        <v>10200000</v>
      </c>
      <c r="Y1495" s="68">
        <f t="shared" si="370"/>
        <v>12528000</v>
      </c>
      <c r="Z1495" s="68">
        <f t="shared" si="371"/>
        <v>0</v>
      </c>
      <c r="AA1495" s="68"/>
      <c r="AB1495" s="68">
        <v>0</v>
      </c>
      <c r="AC1495" s="69">
        <f t="shared" si="372"/>
        <v>36168000</v>
      </c>
      <c r="AD1495" s="70">
        <v>0</v>
      </c>
      <c r="AE1495" s="63">
        <v>40311</v>
      </c>
      <c r="AF1495" s="72">
        <v>97589</v>
      </c>
      <c r="AG1495" s="63" t="s">
        <v>954</v>
      </c>
      <c r="AH1495" s="23" t="s">
        <v>955</v>
      </c>
      <c r="AI1495" s="75" t="s">
        <v>981</v>
      </c>
      <c r="AJ1495" s="133" t="s">
        <v>1476</v>
      </c>
      <c r="AK1495" s="73" t="s">
        <v>541</v>
      </c>
      <c r="AL1495" s="3"/>
      <c r="AM1495" s="4"/>
      <c r="AN1495" s="5"/>
      <c r="AO1495" s="4"/>
      <c r="AP1495" s="4"/>
      <c r="AQ1495" s="4"/>
      <c r="AR1495" s="4"/>
      <c r="AS1495" s="4"/>
      <c r="AT1495" s="4"/>
      <c r="AU1495" s="4"/>
      <c r="AV1495" s="4"/>
      <c r="AW1495" s="4"/>
      <c r="AX1495" s="4">
        <v>240</v>
      </c>
      <c r="AY1495" s="4">
        <f>240*56000</f>
        <v>13440000</v>
      </c>
      <c r="AZ1495" s="4"/>
      <c r="BA1495" s="4"/>
      <c r="BB1495" s="4"/>
      <c r="BC1495" s="4"/>
      <c r="BD1495" s="4"/>
      <c r="BE1495" s="4"/>
      <c r="BF1495" s="4"/>
      <c r="BG1495" s="4"/>
      <c r="BH1495" s="4"/>
      <c r="BI1495" s="4"/>
      <c r="BJ1495" s="4"/>
      <c r="BK1495" s="4"/>
      <c r="BL1495" s="4"/>
      <c r="BM1495" s="4"/>
      <c r="BN1495" s="4"/>
      <c r="BO1495" s="4"/>
      <c r="BP1495" s="4"/>
      <c r="BQ1495" s="4"/>
      <c r="BR1495" s="4"/>
      <c r="BS1495" s="4"/>
      <c r="BT1495" s="4"/>
      <c r="BU1495" s="4"/>
      <c r="BV1495" s="4"/>
      <c r="BW1495" s="4"/>
      <c r="BX1495" s="4"/>
      <c r="BY1495" s="4"/>
      <c r="BZ1495" s="4"/>
      <c r="CA1495" s="4"/>
      <c r="CB1495" s="4"/>
      <c r="CC1495" s="4"/>
      <c r="CD1495" s="4"/>
      <c r="CE1495" s="4"/>
      <c r="CF1495" s="4"/>
      <c r="CG1495" s="4"/>
      <c r="CH1495" s="4"/>
      <c r="CI1495" s="4"/>
      <c r="CJ1495" s="4"/>
      <c r="CK1495" s="4"/>
      <c r="CL1495" s="4"/>
      <c r="CM1495" s="4"/>
      <c r="CN1495" s="6"/>
      <c r="CO1495" s="7"/>
      <c r="CP1495" s="6"/>
      <c r="CQ1495" s="7"/>
      <c r="CR1495" s="6"/>
      <c r="CS1495" s="7"/>
      <c r="CT1495" s="8">
        <f t="shared" si="373"/>
        <v>13440000</v>
      </c>
      <c r="CU1495" s="9"/>
      <c r="CV1495" s="10"/>
      <c r="CW1495" s="11">
        <v>120</v>
      </c>
      <c r="CX1495" s="12">
        <f>120*85000</f>
        <v>10200000</v>
      </c>
      <c r="CY1495" s="26"/>
      <c r="CZ1495" s="12"/>
      <c r="DA1495" s="9">
        <v>600</v>
      </c>
      <c r="DB1495" s="10">
        <f>600*18792+2400*522</f>
        <v>12528000</v>
      </c>
      <c r="DC1495" s="64"/>
      <c r="DD1495" s="22"/>
    </row>
    <row r="1496" spans="1:108" s="119" customFormat="1" ht="24" outlineLevel="2">
      <c r="A1496" s="178">
        <v>40310</v>
      </c>
      <c r="B1496" s="82" t="s">
        <v>1768</v>
      </c>
      <c r="C1496" s="82" t="s">
        <v>1865</v>
      </c>
      <c r="D1496" s="165" t="s">
        <v>1182</v>
      </c>
      <c r="E1496" s="167"/>
      <c r="F1496" s="66"/>
      <c r="G1496" s="66"/>
      <c r="H1496" s="66"/>
      <c r="I1496" s="66"/>
      <c r="J1496" s="66"/>
      <c r="K1496" s="66"/>
      <c r="L1496" s="66"/>
      <c r="M1496" s="66"/>
      <c r="N1496" s="66"/>
      <c r="O1496" s="66"/>
      <c r="P1496" s="66"/>
      <c r="Q1496" s="66"/>
      <c r="R1496" s="66"/>
      <c r="S1496" s="66"/>
      <c r="T1496" s="67"/>
      <c r="U1496" s="151"/>
      <c r="V1496" s="1"/>
      <c r="W1496" s="68">
        <f t="shared" si="368"/>
        <v>0</v>
      </c>
      <c r="X1496" s="68">
        <f t="shared" si="369"/>
        <v>0</v>
      </c>
      <c r="Y1496" s="68">
        <f t="shared" si="370"/>
        <v>0</v>
      </c>
      <c r="Z1496" s="68">
        <f t="shared" si="371"/>
        <v>0</v>
      </c>
      <c r="AA1496" s="68"/>
      <c r="AB1496" s="68">
        <v>0</v>
      </c>
      <c r="AC1496" s="69">
        <f t="shared" si="372"/>
        <v>0</v>
      </c>
      <c r="AD1496" s="70">
        <v>0</v>
      </c>
      <c r="AE1496" s="63">
        <v>40311</v>
      </c>
      <c r="AF1496" s="72"/>
      <c r="AG1496" s="63" t="s">
        <v>938</v>
      </c>
      <c r="AH1496" s="23" t="s">
        <v>939</v>
      </c>
      <c r="AI1496" s="60"/>
      <c r="AJ1496" s="133" t="s">
        <v>1608</v>
      </c>
      <c r="AK1496" s="73" t="s">
        <v>424</v>
      </c>
      <c r="AL1496" s="3"/>
      <c r="AM1496" s="4"/>
      <c r="AN1496" s="5"/>
      <c r="AO1496" s="4"/>
      <c r="AP1496" s="4"/>
      <c r="AQ1496" s="4"/>
      <c r="AR1496" s="4"/>
      <c r="AS1496" s="4"/>
      <c r="AT1496" s="4"/>
      <c r="AU1496" s="4"/>
      <c r="AV1496" s="4"/>
      <c r="AW1496" s="4"/>
      <c r="AX1496" s="4"/>
      <c r="AY1496" s="4"/>
      <c r="AZ1496" s="4"/>
      <c r="BA1496" s="4"/>
      <c r="BB1496" s="4"/>
      <c r="BC1496" s="4"/>
      <c r="BD1496" s="4"/>
      <c r="BE1496" s="4"/>
      <c r="BF1496" s="4"/>
      <c r="BG1496" s="4"/>
      <c r="BH1496" s="4"/>
      <c r="BI1496" s="4"/>
      <c r="BJ1496" s="4"/>
      <c r="BK1496" s="4"/>
      <c r="BL1496" s="4"/>
      <c r="BM1496" s="4"/>
      <c r="BN1496" s="4"/>
      <c r="BO1496" s="4"/>
      <c r="BP1496" s="4"/>
      <c r="BQ1496" s="4"/>
      <c r="BR1496" s="4"/>
      <c r="BS1496" s="4"/>
      <c r="BT1496" s="4"/>
      <c r="BU1496" s="4"/>
      <c r="BV1496" s="4"/>
      <c r="BW1496" s="4"/>
      <c r="BX1496" s="4"/>
      <c r="BY1496" s="4"/>
      <c r="BZ1496" s="4"/>
      <c r="CA1496" s="4"/>
      <c r="CB1496" s="4"/>
      <c r="CC1496" s="4"/>
      <c r="CD1496" s="4"/>
      <c r="CE1496" s="4"/>
      <c r="CF1496" s="4"/>
      <c r="CG1496" s="4"/>
      <c r="CH1496" s="4"/>
      <c r="CI1496" s="4"/>
      <c r="CJ1496" s="4"/>
      <c r="CK1496" s="4"/>
      <c r="CL1496" s="4"/>
      <c r="CM1496" s="4"/>
      <c r="CN1496" s="6"/>
      <c r="CO1496" s="7"/>
      <c r="CP1496" s="6"/>
      <c r="CQ1496" s="7"/>
      <c r="CR1496" s="6"/>
      <c r="CS1496" s="7"/>
      <c r="CT1496" s="8">
        <f t="shared" si="373"/>
        <v>0</v>
      </c>
      <c r="CU1496" s="9"/>
      <c r="CV1496" s="10"/>
      <c r="CW1496" s="11"/>
      <c r="CX1496" s="12"/>
      <c r="CY1496" s="26"/>
      <c r="CZ1496" s="12"/>
      <c r="DA1496" s="9"/>
      <c r="DB1496" s="10"/>
      <c r="DC1496" s="64"/>
      <c r="DD1496" s="22"/>
    </row>
    <row r="1497" spans="1:108" s="119" customFormat="1" ht="45" outlineLevel="2">
      <c r="A1497" s="178">
        <v>40310</v>
      </c>
      <c r="B1497" s="82" t="s">
        <v>1768</v>
      </c>
      <c r="C1497" s="82" t="s">
        <v>542</v>
      </c>
      <c r="D1497" s="165" t="s">
        <v>435</v>
      </c>
      <c r="E1497" s="167"/>
      <c r="F1497" s="66"/>
      <c r="G1497" s="66"/>
      <c r="H1497" s="66">
        <f>200*5</f>
        <v>1000</v>
      </c>
      <c r="I1497" s="66">
        <v>200</v>
      </c>
      <c r="J1497" s="66"/>
      <c r="K1497" s="66">
        <v>200</v>
      </c>
      <c r="L1497" s="66"/>
      <c r="M1497" s="66"/>
      <c r="N1497" s="66"/>
      <c r="O1497" s="66"/>
      <c r="P1497" s="66"/>
      <c r="Q1497" s="66"/>
      <c r="R1497" s="66"/>
      <c r="S1497" s="66"/>
      <c r="T1497" s="67"/>
      <c r="U1497" s="151"/>
      <c r="V1497" s="1">
        <v>40330</v>
      </c>
      <c r="W1497" s="68">
        <f t="shared" si="368"/>
        <v>2240000</v>
      </c>
      <c r="X1497" s="68">
        <f t="shared" si="369"/>
        <v>1700000</v>
      </c>
      <c r="Y1497" s="68">
        <f t="shared" si="370"/>
        <v>4176000</v>
      </c>
      <c r="Z1497" s="68">
        <f t="shared" si="371"/>
        <v>0</v>
      </c>
      <c r="AA1497" s="68"/>
      <c r="AB1497" s="68">
        <v>0</v>
      </c>
      <c r="AC1497" s="69">
        <f t="shared" si="372"/>
        <v>8116000</v>
      </c>
      <c r="AD1497" s="70">
        <v>0</v>
      </c>
      <c r="AE1497" s="63">
        <v>40317</v>
      </c>
      <c r="AF1497" s="72">
        <v>97589</v>
      </c>
      <c r="AG1497" s="63" t="s">
        <v>954</v>
      </c>
      <c r="AH1497" s="23" t="s">
        <v>955</v>
      </c>
      <c r="AI1497" s="75" t="s">
        <v>981</v>
      </c>
      <c r="AJ1497" s="133" t="s">
        <v>415</v>
      </c>
      <c r="AK1497" s="73" t="s">
        <v>543</v>
      </c>
      <c r="AL1497" s="3"/>
      <c r="AM1497" s="4"/>
      <c r="AN1497" s="5"/>
      <c r="AO1497" s="4"/>
      <c r="AP1497" s="4"/>
      <c r="AQ1497" s="4"/>
      <c r="AR1497" s="4"/>
      <c r="AS1497" s="4"/>
      <c r="AT1497" s="4"/>
      <c r="AU1497" s="4"/>
      <c r="AV1497" s="4"/>
      <c r="AW1497" s="4"/>
      <c r="AX1497" s="4">
        <v>40</v>
      </c>
      <c r="AY1497" s="4">
        <f>40*56000</f>
        <v>2240000</v>
      </c>
      <c r="AZ1497" s="4"/>
      <c r="BA1497" s="4"/>
      <c r="BB1497" s="4"/>
      <c r="BC1497" s="4"/>
      <c r="BD1497" s="4"/>
      <c r="BE1497" s="4"/>
      <c r="BF1497" s="4"/>
      <c r="BG1497" s="4"/>
      <c r="BH1497" s="4"/>
      <c r="BI1497" s="4"/>
      <c r="BJ1497" s="4"/>
      <c r="BK1497" s="4"/>
      <c r="BL1497" s="4"/>
      <c r="BM1497" s="4"/>
      <c r="BN1497" s="4"/>
      <c r="BO1497" s="4"/>
      <c r="BP1497" s="4"/>
      <c r="BQ1497" s="4"/>
      <c r="BR1497" s="4"/>
      <c r="BS1497" s="4"/>
      <c r="BT1497" s="4"/>
      <c r="BU1497" s="4"/>
      <c r="BV1497" s="4"/>
      <c r="BW1497" s="4"/>
      <c r="BX1497" s="4"/>
      <c r="BY1497" s="4"/>
      <c r="BZ1497" s="4"/>
      <c r="CA1497" s="4"/>
      <c r="CB1497" s="4"/>
      <c r="CC1497" s="4"/>
      <c r="CD1497" s="4"/>
      <c r="CE1497" s="4"/>
      <c r="CF1497" s="4"/>
      <c r="CG1497" s="4"/>
      <c r="CH1497" s="4"/>
      <c r="CI1497" s="4"/>
      <c r="CJ1497" s="4"/>
      <c r="CK1497" s="4"/>
      <c r="CL1497" s="4"/>
      <c r="CM1497" s="4"/>
      <c r="CN1497" s="6"/>
      <c r="CO1497" s="7"/>
      <c r="CP1497" s="6"/>
      <c r="CQ1497" s="7"/>
      <c r="CR1497" s="6"/>
      <c r="CS1497" s="7"/>
      <c r="CT1497" s="8">
        <f t="shared" si="373"/>
        <v>2240000</v>
      </c>
      <c r="CU1497" s="9"/>
      <c r="CV1497" s="10"/>
      <c r="CW1497" s="11">
        <v>20</v>
      </c>
      <c r="CX1497" s="12">
        <f>20*85000</f>
        <v>1700000</v>
      </c>
      <c r="CY1497" s="26"/>
      <c r="CZ1497" s="12"/>
      <c r="DA1497" s="9">
        <v>200</v>
      </c>
      <c r="DB1497" s="10">
        <f>200*18792+800*522</f>
        <v>4176000</v>
      </c>
      <c r="DC1497" s="64"/>
      <c r="DD1497" s="22"/>
    </row>
    <row r="1498" spans="1:108" s="119" customFormat="1" ht="48" outlineLevel="2">
      <c r="A1498" s="178">
        <v>40310</v>
      </c>
      <c r="B1498" s="82" t="s">
        <v>1768</v>
      </c>
      <c r="C1498" s="82" t="s">
        <v>1693</v>
      </c>
      <c r="D1498" s="165" t="s">
        <v>435</v>
      </c>
      <c r="E1498" s="167"/>
      <c r="F1498" s="66"/>
      <c r="G1498" s="66"/>
      <c r="H1498" s="66">
        <f>310*5</f>
        <v>1550</v>
      </c>
      <c r="I1498" s="66">
        <v>310</v>
      </c>
      <c r="J1498" s="66"/>
      <c r="K1498" s="66">
        <v>310</v>
      </c>
      <c r="L1498" s="66"/>
      <c r="M1498" s="66"/>
      <c r="N1498" s="66"/>
      <c r="O1498" s="66"/>
      <c r="P1498" s="66"/>
      <c r="Q1498" s="66"/>
      <c r="R1498" s="66"/>
      <c r="S1498" s="66"/>
      <c r="T1498" s="67"/>
      <c r="U1498" s="151" t="s">
        <v>1958</v>
      </c>
      <c r="V1498" s="1">
        <v>40330</v>
      </c>
      <c r="W1498" s="68">
        <f t="shared" si="368"/>
        <v>33600000</v>
      </c>
      <c r="X1498" s="68">
        <f t="shared" si="369"/>
        <v>25500000</v>
      </c>
      <c r="Y1498" s="68">
        <f t="shared" si="370"/>
        <v>31320000</v>
      </c>
      <c r="Z1498" s="68">
        <f t="shared" si="371"/>
        <v>0</v>
      </c>
      <c r="AA1498" s="68"/>
      <c r="AB1498" s="68">
        <v>0</v>
      </c>
      <c r="AC1498" s="69">
        <f t="shared" si="372"/>
        <v>90420000</v>
      </c>
      <c r="AD1498" s="70">
        <v>0</v>
      </c>
      <c r="AE1498" s="63">
        <v>40310</v>
      </c>
      <c r="AF1498" s="72">
        <v>97589</v>
      </c>
      <c r="AG1498" s="63" t="s">
        <v>954</v>
      </c>
      <c r="AH1498" s="23" t="s">
        <v>955</v>
      </c>
      <c r="AI1498" s="75" t="s">
        <v>981</v>
      </c>
      <c r="AJ1498" s="133" t="s">
        <v>1476</v>
      </c>
      <c r="AK1498" s="73" t="s">
        <v>540</v>
      </c>
      <c r="AL1498" s="3"/>
      <c r="AM1498" s="4"/>
      <c r="AN1498" s="5"/>
      <c r="AO1498" s="4"/>
      <c r="AP1498" s="4"/>
      <c r="AQ1498" s="4"/>
      <c r="AR1498" s="4"/>
      <c r="AS1498" s="4"/>
      <c r="AT1498" s="4"/>
      <c r="AU1498" s="4"/>
      <c r="AV1498" s="4"/>
      <c r="AW1498" s="4"/>
      <c r="AX1498" s="4">
        <v>600</v>
      </c>
      <c r="AY1498" s="4">
        <f>600*56000</f>
        <v>33600000</v>
      </c>
      <c r="AZ1498" s="4"/>
      <c r="BA1498" s="4"/>
      <c r="BB1498" s="4"/>
      <c r="BC1498" s="4"/>
      <c r="BD1498" s="4"/>
      <c r="BE1498" s="4"/>
      <c r="BF1498" s="4"/>
      <c r="BG1498" s="4"/>
      <c r="BH1498" s="4"/>
      <c r="BI1498" s="4"/>
      <c r="BJ1498" s="4"/>
      <c r="BK1498" s="4"/>
      <c r="BL1498" s="4"/>
      <c r="BM1498" s="4"/>
      <c r="BN1498" s="4"/>
      <c r="BO1498" s="4"/>
      <c r="BP1498" s="4"/>
      <c r="BQ1498" s="4"/>
      <c r="BR1498" s="4"/>
      <c r="BS1498" s="4"/>
      <c r="BT1498" s="4"/>
      <c r="BU1498" s="4"/>
      <c r="BV1498" s="4"/>
      <c r="BW1498" s="4"/>
      <c r="BX1498" s="4"/>
      <c r="BY1498" s="4"/>
      <c r="BZ1498" s="4"/>
      <c r="CA1498" s="4"/>
      <c r="CB1498" s="4"/>
      <c r="CC1498" s="4"/>
      <c r="CD1498" s="4"/>
      <c r="CE1498" s="4"/>
      <c r="CF1498" s="4"/>
      <c r="CG1498" s="4"/>
      <c r="CH1498" s="4"/>
      <c r="CI1498" s="4"/>
      <c r="CJ1498" s="4"/>
      <c r="CK1498" s="4"/>
      <c r="CL1498" s="4"/>
      <c r="CM1498" s="4"/>
      <c r="CN1498" s="6"/>
      <c r="CO1498" s="7"/>
      <c r="CP1498" s="6"/>
      <c r="CQ1498" s="7"/>
      <c r="CR1498" s="6"/>
      <c r="CS1498" s="7"/>
      <c r="CT1498" s="8">
        <f t="shared" si="373"/>
        <v>33600000</v>
      </c>
      <c r="CU1498" s="9"/>
      <c r="CV1498" s="10"/>
      <c r="CW1498" s="11">
        <v>300</v>
      </c>
      <c r="CX1498" s="12">
        <f>300*85000</f>
        <v>25500000</v>
      </c>
      <c r="CY1498" s="26"/>
      <c r="CZ1498" s="12"/>
      <c r="DA1498" s="9">
        <v>1500</v>
      </c>
      <c r="DB1498" s="10">
        <f>1500*18792+6000*522</f>
        <v>31320000</v>
      </c>
      <c r="DC1498" s="64"/>
      <c r="DD1498" s="22"/>
    </row>
    <row r="1499" spans="1:108" s="119" customFormat="1" ht="22.5" outlineLevel="2">
      <c r="A1499" s="178">
        <v>40342</v>
      </c>
      <c r="B1499" s="82" t="s">
        <v>1768</v>
      </c>
      <c r="C1499" s="82" t="s">
        <v>972</v>
      </c>
      <c r="D1499" s="165" t="s">
        <v>944</v>
      </c>
      <c r="E1499" s="167">
        <v>3</v>
      </c>
      <c r="F1499" s="66"/>
      <c r="G1499" s="66"/>
      <c r="H1499" s="66"/>
      <c r="I1499" s="66"/>
      <c r="J1499" s="66"/>
      <c r="K1499" s="66"/>
      <c r="L1499" s="66"/>
      <c r="M1499" s="66"/>
      <c r="N1499" s="66"/>
      <c r="O1499" s="66"/>
      <c r="P1499" s="66"/>
      <c r="Q1499" s="66"/>
      <c r="R1499" s="66"/>
      <c r="S1499" s="66"/>
      <c r="T1499" s="67"/>
      <c r="U1499" s="151"/>
      <c r="V1499" s="1"/>
      <c r="W1499" s="68">
        <f t="shared" si="368"/>
        <v>0</v>
      </c>
      <c r="X1499" s="68">
        <f t="shared" si="369"/>
        <v>0</v>
      </c>
      <c r="Y1499" s="68">
        <f t="shared" si="370"/>
        <v>0</v>
      </c>
      <c r="Z1499" s="68">
        <f t="shared" si="371"/>
        <v>0</v>
      </c>
      <c r="AA1499" s="68"/>
      <c r="AB1499" s="68">
        <v>0</v>
      </c>
      <c r="AC1499" s="69">
        <f t="shared" si="372"/>
        <v>0</v>
      </c>
      <c r="AD1499" s="70">
        <v>0</v>
      </c>
      <c r="AE1499" s="63">
        <v>40344</v>
      </c>
      <c r="AF1499" s="72"/>
      <c r="AG1499" s="63" t="s">
        <v>938</v>
      </c>
      <c r="AH1499" s="23" t="s">
        <v>939</v>
      </c>
      <c r="AI1499" s="60"/>
      <c r="AJ1499" s="133" t="s">
        <v>1608</v>
      </c>
      <c r="AK1499" s="73" t="s">
        <v>1047</v>
      </c>
      <c r="AL1499" s="3"/>
      <c r="AM1499" s="4"/>
      <c r="AN1499" s="5"/>
      <c r="AO1499" s="4"/>
      <c r="AP1499" s="4"/>
      <c r="AQ1499" s="4"/>
      <c r="AR1499" s="4"/>
      <c r="AS1499" s="4"/>
      <c r="AT1499" s="4"/>
      <c r="AU1499" s="4"/>
      <c r="AV1499" s="4"/>
      <c r="AW1499" s="4"/>
      <c r="AX1499" s="4"/>
      <c r="AY1499" s="4"/>
      <c r="AZ1499" s="4"/>
      <c r="BA1499" s="4"/>
      <c r="BB1499" s="4"/>
      <c r="BC1499" s="4"/>
      <c r="BD1499" s="4"/>
      <c r="BE1499" s="4"/>
      <c r="BF1499" s="4"/>
      <c r="BG1499" s="4"/>
      <c r="BH1499" s="4"/>
      <c r="BI1499" s="4"/>
      <c r="BJ1499" s="4"/>
      <c r="BK1499" s="4"/>
      <c r="BL1499" s="4"/>
      <c r="BM1499" s="4"/>
      <c r="BN1499" s="4"/>
      <c r="BO1499" s="4"/>
      <c r="BP1499" s="4"/>
      <c r="BQ1499" s="4"/>
      <c r="BR1499" s="4"/>
      <c r="BS1499" s="4"/>
      <c r="BT1499" s="4"/>
      <c r="BU1499" s="4"/>
      <c r="BV1499" s="4"/>
      <c r="BW1499" s="4"/>
      <c r="BX1499" s="4"/>
      <c r="BY1499" s="4"/>
      <c r="BZ1499" s="4"/>
      <c r="CA1499" s="4"/>
      <c r="CB1499" s="4"/>
      <c r="CC1499" s="4"/>
      <c r="CD1499" s="4"/>
      <c r="CE1499" s="4"/>
      <c r="CF1499" s="4"/>
      <c r="CG1499" s="4"/>
      <c r="CH1499" s="4"/>
      <c r="CI1499" s="4"/>
      <c r="CJ1499" s="4"/>
      <c r="CK1499" s="4"/>
      <c r="CL1499" s="4"/>
      <c r="CM1499" s="4"/>
      <c r="CN1499" s="6"/>
      <c r="CO1499" s="7"/>
      <c r="CP1499" s="6"/>
      <c r="CQ1499" s="7"/>
      <c r="CR1499" s="6"/>
      <c r="CS1499" s="7"/>
      <c r="CT1499" s="8">
        <f t="shared" si="373"/>
        <v>0</v>
      </c>
      <c r="CU1499" s="9"/>
      <c r="CV1499" s="10"/>
      <c r="CW1499" s="11"/>
      <c r="CX1499" s="12"/>
      <c r="CY1499" s="26"/>
      <c r="CZ1499" s="12"/>
      <c r="DA1499" s="9"/>
      <c r="DB1499" s="10"/>
      <c r="DC1499" s="64"/>
      <c r="DD1499" s="22"/>
    </row>
    <row r="1500" spans="1:108" s="119" customFormat="1" ht="24" outlineLevel="2">
      <c r="A1500" s="178">
        <v>40349</v>
      </c>
      <c r="B1500" s="82" t="s">
        <v>1768</v>
      </c>
      <c r="C1500" s="82" t="s">
        <v>1532</v>
      </c>
      <c r="D1500" s="165" t="s">
        <v>435</v>
      </c>
      <c r="E1500" s="167"/>
      <c r="F1500" s="66"/>
      <c r="G1500" s="66"/>
      <c r="H1500" s="66">
        <v>60</v>
      </c>
      <c r="I1500" s="66">
        <v>12</v>
      </c>
      <c r="J1500" s="66"/>
      <c r="K1500" s="66">
        <v>12</v>
      </c>
      <c r="L1500" s="66"/>
      <c r="M1500" s="66"/>
      <c r="N1500" s="66"/>
      <c r="O1500" s="66"/>
      <c r="P1500" s="66"/>
      <c r="Q1500" s="66"/>
      <c r="R1500" s="66"/>
      <c r="S1500" s="66"/>
      <c r="T1500" s="67"/>
      <c r="U1500" s="151"/>
      <c r="V1500" s="1"/>
      <c r="W1500" s="68">
        <f t="shared" si="368"/>
        <v>0</v>
      </c>
      <c r="X1500" s="68">
        <f t="shared" si="369"/>
        <v>0</v>
      </c>
      <c r="Y1500" s="68">
        <f t="shared" si="370"/>
        <v>0</v>
      </c>
      <c r="Z1500" s="68">
        <f t="shared" si="371"/>
        <v>0</v>
      </c>
      <c r="AA1500" s="68"/>
      <c r="AB1500" s="68">
        <v>0</v>
      </c>
      <c r="AC1500" s="69">
        <f t="shared" si="372"/>
        <v>0</v>
      </c>
      <c r="AD1500" s="70">
        <v>0</v>
      </c>
      <c r="AE1500" s="63">
        <v>40350</v>
      </c>
      <c r="AF1500" s="72"/>
      <c r="AG1500" s="63" t="s">
        <v>938</v>
      </c>
      <c r="AH1500" s="23" t="s">
        <v>939</v>
      </c>
      <c r="AI1500" s="60"/>
      <c r="AJ1500" s="133" t="s">
        <v>1608</v>
      </c>
      <c r="AK1500" s="73" t="s">
        <v>1906</v>
      </c>
      <c r="AL1500" s="3"/>
      <c r="AM1500" s="4"/>
      <c r="AN1500" s="5"/>
      <c r="AO1500" s="4"/>
      <c r="AP1500" s="4"/>
      <c r="AQ1500" s="4"/>
      <c r="AR1500" s="4"/>
      <c r="AS1500" s="4"/>
      <c r="AT1500" s="4"/>
      <c r="AU1500" s="4"/>
      <c r="AV1500" s="4"/>
      <c r="AW1500" s="4"/>
      <c r="AX1500" s="4"/>
      <c r="AY1500" s="4"/>
      <c r="AZ1500" s="4"/>
      <c r="BA1500" s="4"/>
      <c r="BB1500" s="4"/>
      <c r="BC1500" s="4"/>
      <c r="BD1500" s="4"/>
      <c r="BE1500" s="4"/>
      <c r="BF1500" s="4"/>
      <c r="BG1500" s="4"/>
      <c r="BH1500" s="4"/>
      <c r="BI1500" s="4"/>
      <c r="BJ1500" s="4"/>
      <c r="BK1500" s="4"/>
      <c r="BL1500" s="4"/>
      <c r="BM1500" s="4"/>
      <c r="BN1500" s="4"/>
      <c r="BO1500" s="4"/>
      <c r="BP1500" s="4"/>
      <c r="BQ1500" s="4"/>
      <c r="BR1500" s="4"/>
      <c r="BS1500" s="4"/>
      <c r="BT1500" s="4"/>
      <c r="BU1500" s="4"/>
      <c r="BV1500" s="4"/>
      <c r="BW1500" s="4"/>
      <c r="BX1500" s="4"/>
      <c r="BY1500" s="4"/>
      <c r="BZ1500" s="4"/>
      <c r="CA1500" s="4"/>
      <c r="CB1500" s="4"/>
      <c r="CC1500" s="4"/>
      <c r="CD1500" s="4"/>
      <c r="CE1500" s="4"/>
      <c r="CF1500" s="4"/>
      <c r="CG1500" s="4"/>
      <c r="CH1500" s="4"/>
      <c r="CI1500" s="4"/>
      <c r="CJ1500" s="4"/>
      <c r="CK1500" s="4"/>
      <c r="CL1500" s="4"/>
      <c r="CM1500" s="4"/>
      <c r="CN1500" s="6"/>
      <c r="CO1500" s="7"/>
      <c r="CP1500" s="6"/>
      <c r="CQ1500" s="7"/>
      <c r="CR1500" s="6"/>
      <c r="CS1500" s="7"/>
      <c r="CT1500" s="8">
        <f t="shared" si="373"/>
        <v>0</v>
      </c>
      <c r="CU1500" s="9"/>
      <c r="CV1500" s="10"/>
      <c r="CW1500" s="11"/>
      <c r="CX1500" s="12"/>
      <c r="CY1500" s="26"/>
      <c r="CZ1500" s="12"/>
      <c r="DA1500" s="9"/>
      <c r="DB1500" s="10"/>
      <c r="DC1500" s="64"/>
      <c r="DD1500" s="22"/>
    </row>
    <row r="1501" spans="1:108" s="119" customFormat="1" ht="24" outlineLevel="2">
      <c r="A1501" s="178">
        <v>40349</v>
      </c>
      <c r="B1501" s="82" t="s">
        <v>1768</v>
      </c>
      <c r="C1501" s="82" t="s">
        <v>1622</v>
      </c>
      <c r="D1501" s="165" t="s">
        <v>1182</v>
      </c>
      <c r="E1501" s="167"/>
      <c r="F1501" s="66"/>
      <c r="G1501" s="66"/>
      <c r="H1501" s="66">
        <v>10</v>
      </c>
      <c r="I1501" s="66">
        <v>2</v>
      </c>
      <c r="J1501" s="66"/>
      <c r="K1501" s="66">
        <v>2</v>
      </c>
      <c r="L1501" s="66"/>
      <c r="M1501" s="66"/>
      <c r="N1501" s="66"/>
      <c r="O1501" s="66"/>
      <c r="P1501" s="66"/>
      <c r="Q1501" s="66"/>
      <c r="R1501" s="66"/>
      <c r="S1501" s="66"/>
      <c r="T1501" s="67"/>
      <c r="U1501" s="151"/>
      <c r="V1501" s="1"/>
      <c r="W1501" s="68">
        <f t="shared" si="368"/>
        <v>0</v>
      </c>
      <c r="X1501" s="68">
        <f t="shared" si="369"/>
        <v>0</v>
      </c>
      <c r="Y1501" s="68">
        <f t="shared" si="370"/>
        <v>0</v>
      </c>
      <c r="Z1501" s="68">
        <f t="shared" si="371"/>
        <v>0</v>
      </c>
      <c r="AA1501" s="68"/>
      <c r="AB1501" s="68">
        <v>0</v>
      </c>
      <c r="AC1501" s="69">
        <f t="shared" si="372"/>
        <v>0</v>
      </c>
      <c r="AD1501" s="70">
        <v>0</v>
      </c>
      <c r="AE1501" s="63">
        <v>40350</v>
      </c>
      <c r="AF1501" s="72"/>
      <c r="AG1501" s="63" t="s">
        <v>938</v>
      </c>
      <c r="AH1501" s="23" t="s">
        <v>939</v>
      </c>
      <c r="AI1501" s="60"/>
      <c r="AJ1501" s="133" t="s">
        <v>1608</v>
      </c>
      <c r="AK1501" s="73" t="s">
        <v>1432</v>
      </c>
      <c r="AL1501" s="3"/>
      <c r="AM1501" s="4"/>
      <c r="AN1501" s="5"/>
      <c r="AO1501" s="4"/>
      <c r="AP1501" s="4"/>
      <c r="AQ1501" s="4"/>
      <c r="AR1501" s="4"/>
      <c r="AS1501" s="4"/>
      <c r="AT1501" s="4"/>
      <c r="AU1501" s="4"/>
      <c r="AV1501" s="4"/>
      <c r="AW1501" s="4"/>
      <c r="AX1501" s="4"/>
      <c r="AY1501" s="4"/>
      <c r="AZ1501" s="4"/>
      <c r="BA1501" s="4"/>
      <c r="BB1501" s="4"/>
      <c r="BC1501" s="4"/>
      <c r="BD1501" s="4"/>
      <c r="BE1501" s="4"/>
      <c r="BF1501" s="4"/>
      <c r="BG1501" s="4"/>
      <c r="BH1501" s="4"/>
      <c r="BI1501" s="4"/>
      <c r="BJ1501" s="4"/>
      <c r="BK1501" s="4"/>
      <c r="BL1501" s="4"/>
      <c r="BM1501" s="4"/>
      <c r="BN1501" s="4"/>
      <c r="BO1501" s="4"/>
      <c r="BP1501" s="4"/>
      <c r="BQ1501" s="4"/>
      <c r="BR1501" s="4"/>
      <c r="BS1501" s="4"/>
      <c r="BT1501" s="4"/>
      <c r="BU1501" s="4"/>
      <c r="BV1501" s="4"/>
      <c r="BW1501" s="4"/>
      <c r="BX1501" s="4"/>
      <c r="BY1501" s="4"/>
      <c r="BZ1501" s="4"/>
      <c r="CA1501" s="4"/>
      <c r="CB1501" s="4"/>
      <c r="CC1501" s="4"/>
      <c r="CD1501" s="4"/>
      <c r="CE1501" s="4"/>
      <c r="CF1501" s="4"/>
      <c r="CG1501" s="4"/>
      <c r="CH1501" s="4"/>
      <c r="CI1501" s="4"/>
      <c r="CJ1501" s="4"/>
      <c r="CK1501" s="4"/>
      <c r="CL1501" s="4"/>
      <c r="CM1501" s="4"/>
      <c r="CN1501" s="6"/>
      <c r="CO1501" s="7"/>
      <c r="CP1501" s="6"/>
      <c r="CQ1501" s="7"/>
      <c r="CR1501" s="6"/>
      <c r="CS1501" s="7"/>
      <c r="CT1501" s="8">
        <f t="shared" si="373"/>
        <v>0</v>
      </c>
      <c r="CU1501" s="9"/>
      <c r="CV1501" s="10"/>
      <c r="CW1501" s="11"/>
      <c r="CX1501" s="12"/>
      <c r="CY1501" s="26"/>
      <c r="CZ1501" s="12"/>
      <c r="DA1501" s="9"/>
      <c r="DB1501" s="10"/>
      <c r="DC1501" s="64"/>
      <c r="DD1501" s="22"/>
    </row>
    <row r="1502" spans="1:108" s="119" customFormat="1" ht="48" outlineLevel="2">
      <c r="A1502" s="178">
        <v>40362</v>
      </c>
      <c r="B1502" s="82" t="s">
        <v>1768</v>
      </c>
      <c r="C1502" s="82" t="s">
        <v>1692</v>
      </c>
      <c r="D1502" s="165" t="s">
        <v>1262</v>
      </c>
      <c r="E1502" s="167"/>
      <c r="F1502" s="66"/>
      <c r="G1502" s="66"/>
      <c r="H1502" s="66">
        <v>600</v>
      </c>
      <c r="I1502" s="66">
        <v>120</v>
      </c>
      <c r="J1502" s="66"/>
      <c r="K1502" s="66">
        <v>120</v>
      </c>
      <c r="L1502" s="66"/>
      <c r="M1502" s="66"/>
      <c r="N1502" s="66"/>
      <c r="O1502" s="66"/>
      <c r="P1502" s="66"/>
      <c r="Q1502" s="66"/>
      <c r="R1502" s="66"/>
      <c r="S1502" s="66"/>
      <c r="T1502" s="67"/>
      <c r="U1502" s="151"/>
      <c r="V1502" s="1"/>
      <c r="W1502" s="68">
        <f t="shared" si="368"/>
        <v>0</v>
      </c>
      <c r="X1502" s="68">
        <f t="shared" si="369"/>
        <v>0</v>
      </c>
      <c r="Y1502" s="68">
        <f t="shared" si="370"/>
        <v>0</v>
      </c>
      <c r="Z1502" s="68">
        <f t="shared" si="371"/>
        <v>0</v>
      </c>
      <c r="AA1502" s="68"/>
      <c r="AB1502" s="68">
        <v>0</v>
      </c>
      <c r="AC1502" s="69">
        <f t="shared" si="372"/>
        <v>0</v>
      </c>
      <c r="AD1502" s="70">
        <v>0</v>
      </c>
      <c r="AE1502" s="63">
        <v>40367</v>
      </c>
      <c r="AF1502" s="72"/>
      <c r="AG1502" s="63" t="s">
        <v>938</v>
      </c>
      <c r="AH1502" s="23" t="s">
        <v>939</v>
      </c>
      <c r="AI1502" s="60"/>
      <c r="AJ1502" s="133" t="s">
        <v>1608</v>
      </c>
      <c r="AK1502" s="73" t="s">
        <v>1886</v>
      </c>
      <c r="AL1502" s="3"/>
      <c r="AM1502" s="4"/>
      <c r="AN1502" s="5"/>
      <c r="AO1502" s="4"/>
      <c r="AP1502" s="4"/>
      <c r="AQ1502" s="4"/>
      <c r="AR1502" s="4"/>
      <c r="AS1502" s="4"/>
      <c r="AT1502" s="4"/>
      <c r="AU1502" s="4"/>
      <c r="AV1502" s="4"/>
      <c r="AW1502" s="4"/>
      <c r="AX1502" s="4"/>
      <c r="AY1502" s="4"/>
      <c r="AZ1502" s="4"/>
      <c r="BA1502" s="4"/>
      <c r="BB1502" s="4"/>
      <c r="BC1502" s="4"/>
      <c r="BD1502" s="4"/>
      <c r="BE1502" s="4"/>
      <c r="BF1502" s="4"/>
      <c r="BG1502" s="4"/>
      <c r="BH1502" s="4"/>
      <c r="BI1502" s="4"/>
      <c r="BJ1502" s="4"/>
      <c r="BK1502" s="4"/>
      <c r="BL1502" s="4"/>
      <c r="BM1502" s="4"/>
      <c r="BN1502" s="4"/>
      <c r="BO1502" s="4"/>
      <c r="BP1502" s="4"/>
      <c r="BQ1502" s="4"/>
      <c r="BR1502" s="4"/>
      <c r="BS1502" s="4"/>
      <c r="BT1502" s="4"/>
      <c r="BU1502" s="4"/>
      <c r="BV1502" s="4"/>
      <c r="BW1502" s="4"/>
      <c r="BX1502" s="4"/>
      <c r="BY1502" s="4"/>
      <c r="BZ1502" s="4"/>
      <c r="CA1502" s="4"/>
      <c r="CB1502" s="4"/>
      <c r="CC1502" s="4"/>
      <c r="CD1502" s="4"/>
      <c r="CE1502" s="4"/>
      <c r="CF1502" s="4"/>
      <c r="CG1502" s="4"/>
      <c r="CH1502" s="4"/>
      <c r="CI1502" s="4"/>
      <c r="CJ1502" s="4"/>
      <c r="CK1502" s="4"/>
      <c r="CL1502" s="4"/>
      <c r="CM1502" s="4"/>
      <c r="CN1502" s="6"/>
      <c r="CO1502" s="7"/>
      <c r="CP1502" s="6"/>
      <c r="CQ1502" s="7"/>
      <c r="CR1502" s="6"/>
      <c r="CS1502" s="7"/>
      <c r="CT1502" s="8">
        <f t="shared" si="373"/>
        <v>0</v>
      </c>
      <c r="CU1502" s="9"/>
      <c r="CV1502" s="10"/>
      <c r="CW1502" s="11"/>
      <c r="CX1502" s="12"/>
      <c r="CY1502" s="26"/>
      <c r="CZ1502" s="12"/>
      <c r="DA1502" s="9"/>
      <c r="DB1502" s="10"/>
      <c r="DC1502" s="64"/>
      <c r="DD1502" s="22"/>
    </row>
    <row r="1503" spans="1:108" s="119" customFormat="1" ht="24" outlineLevel="2">
      <c r="A1503" s="178">
        <v>40367</v>
      </c>
      <c r="B1503" s="82" t="s">
        <v>1768</v>
      </c>
      <c r="C1503" s="82" t="s">
        <v>1692</v>
      </c>
      <c r="D1503" s="165" t="s">
        <v>1182</v>
      </c>
      <c r="E1503" s="167"/>
      <c r="F1503" s="66"/>
      <c r="G1503" s="66"/>
      <c r="H1503" s="66">
        <v>5</v>
      </c>
      <c r="I1503" s="66">
        <v>1</v>
      </c>
      <c r="J1503" s="66">
        <v>1</v>
      </c>
      <c r="K1503" s="66"/>
      <c r="L1503" s="66"/>
      <c r="M1503" s="66"/>
      <c r="N1503" s="66"/>
      <c r="O1503" s="66"/>
      <c r="P1503" s="66"/>
      <c r="Q1503" s="66"/>
      <c r="R1503" s="66"/>
      <c r="S1503" s="66"/>
      <c r="T1503" s="67"/>
      <c r="U1503" s="151"/>
      <c r="V1503" s="1"/>
      <c r="W1503" s="68">
        <f t="shared" si="368"/>
        <v>0</v>
      </c>
      <c r="X1503" s="68">
        <f t="shared" si="369"/>
        <v>0</v>
      </c>
      <c r="Y1503" s="68">
        <f t="shared" si="370"/>
        <v>0</v>
      </c>
      <c r="Z1503" s="68">
        <f t="shared" si="371"/>
        <v>0</v>
      </c>
      <c r="AA1503" s="68"/>
      <c r="AB1503" s="68">
        <v>0</v>
      </c>
      <c r="AC1503" s="69">
        <f t="shared" si="372"/>
        <v>0</v>
      </c>
      <c r="AD1503" s="70">
        <v>0</v>
      </c>
      <c r="AE1503" s="63">
        <v>40371</v>
      </c>
      <c r="AF1503" s="72"/>
      <c r="AG1503" s="63" t="s">
        <v>938</v>
      </c>
      <c r="AH1503" s="23" t="s">
        <v>939</v>
      </c>
      <c r="AI1503" s="60"/>
      <c r="AJ1503" s="133" t="s">
        <v>1608</v>
      </c>
      <c r="AK1503" s="73" t="s">
        <v>1456</v>
      </c>
      <c r="AL1503" s="3"/>
      <c r="AM1503" s="4"/>
      <c r="AN1503" s="5"/>
      <c r="AO1503" s="4"/>
      <c r="AP1503" s="4"/>
      <c r="AQ1503" s="4"/>
      <c r="AR1503" s="4"/>
      <c r="AS1503" s="4"/>
      <c r="AT1503" s="4"/>
      <c r="AU1503" s="4"/>
      <c r="AV1503" s="4"/>
      <c r="AW1503" s="4"/>
      <c r="AX1503" s="4"/>
      <c r="AY1503" s="4"/>
      <c r="AZ1503" s="4"/>
      <c r="BA1503" s="4"/>
      <c r="BB1503" s="4"/>
      <c r="BC1503" s="4"/>
      <c r="BD1503" s="4"/>
      <c r="BE1503" s="4"/>
      <c r="BF1503" s="4"/>
      <c r="BG1503" s="4"/>
      <c r="BH1503" s="4"/>
      <c r="BI1503" s="4"/>
      <c r="BJ1503" s="4"/>
      <c r="BK1503" s="4"/>
      <c r="BL1503" s="4"/>
      <c r="BM1503" s="4"/>
      <c r="BN1503" s="4"/>
      <c r="BO1503" s="4"/>
      <c r="BP1503" s="4"/>
      <c r="BQ1503" s="4"/>
      <c r="BR1503" s="4"/>
      <c r="BS1503" s="4"/>
      <c r="BT1503" s="4"/>
      <c r="BU1503" s="4"/>
      <c r="BV1503" s="4"/>
      <c r="BW1503" s="4"/>
      <c r="BX1503" s="4"/>
      <c r="BY1503" s="4"/>
      <c r="BZ1503" s="4"/>
      <c r="CA1503" s="4"/>
      <c r="CB1503" s="4"/>
      <c r="CC1503" s="4"/>
      <c r="CD1503" s="4"/>
      <c r="CE1503" s="4"/>
      <c r="CF1503" s="4"/>
      <c r="CG1503" s="4"/>
      <c r="CH1503" s="4"/>
      <c r="CI1503" s="4"/>
      <c r="CJ1503" s="4"/>
      <c r="CK1503" s="4"/>
      <c r="CL1503" s="4"/>
      <c r="CM1503" s="4"/>
      <c r="CN1503" s="6"/>
      <c r="CO1503" s="7"/>
      <c r="CP1503" s="6"/>
      <c r="CQ1503" s="7"/>
      <c r="CR1503" s="6"/>
      <c r="CS1503" s="7"/>
      <c r="CT1503" s="8">
        <f t="shared" si="373"/>
        <v>0</v>
      </c>
      <c r="CU1503" s="9"/>
      <c r="CV1503" s="10"/>
      <c r="CW1503" s="11"/>
      <c r="CX1503" s="12"/>
      <c r="CY1503" s="26"/>
      <c r="CZ1503" s="12"/>
      <c r="DA1503" s="9"/>
      <c r="DB1503" s="10"/>
      <c r="DC1503" s="64"/>
      <c r="DD1503" s="22"/>
    </row>
    <row r="1504" spans="1:108" s="119" customFormat="1" ht="36" outlineLevel="2">
      <c r="A1504" s="178">
        <v>40369</v>
      </c>
      <c r="B1504" s="82" t="s">
        <v>1768</v>
      </c>
      <c r="C1504" s="82" t="s">
        <v>1289</v>
      </c>
      <c r="D1504" s="165" t="s">
        <v>1262</v>
      </c>
      <c r="E1504" s="167"/>
      <c r="F1504" s="66"/>
      <c r="G1504" s="66"/>
      <c r="H1504" s="66"/>
      <c r="I1504" s="66"/>
      <c r="J1504" s="66"/>
      <c r="K1504" s="66"/>
      <c r="L1504" s="66">
        <v>1</v>
      </c>
      <c r="M1504" s="66"/>
      <c r="N1504" s="66"/>
      <c r="O1504" s="66"/>
      <c r="P1504" s="66"/>
      <c r="Q1504" s="66"/>
      <c r="R1504" s="66"/>
      <c r="S1504" s="66"/>
      <c r="T1504" s="67"/>
      <c r="U1504" s="151"/>
      <c r="V1504" s="1"/>
      <c r="W1504" s="68">
        <f t="shared" si="368"/>
        <v>0</v>
      </c>
      <c r="X1504" s="68">
        <f t="shared" si="369"/>
        <v>0</v>
      </c>
      <c r="Y1504" s="68">
        <f t="shared" si="370"/>
        <v>0</v>
      </c>
      <c r="Z1504" s="68">
        <f t="shared" si="371"/>
        <v>0</v>
      </c>
      <c r="AA1504" s="68"/>
      <c r="AB1504" s="68">
        <v>0</v>
      </c>
      <c r="AC1504" s="69">
        <f t="shared" si="372"/>
        <v>0</v>
      </c>
      <c r="AD1504" s="70">
        <v>0</v>
      </c>
      <c r="AE1504" s="63">
        <v>40371</v>
      </c>
      <c r="AF1504" s="72"/>
      <c r="AG1504" s="63" t="s">
        <v>938</v>
      </c>
      <c r="AH1504" s="23" t="s">
        <v>939</v>
      </c>
      <c r="AI1504" s="60"/>
      <c r="AJ1504" s="133" t="s">
        <v>1608</v>
      </c>
      <c r="AK1504" s="73" t="s">
        <v>1466</v>
      </c>
      <c r="AL1504" s="3"/>
      <c r="AM1504" s="4"/>
      <c r="AN1504" s="5"/>
      <c r="AO1504" s="4"/>
      <c r="AP1504" s="4"/>
      <c r="AQ1504" s="4"/>
      <c r="AR1504" s="4"/>
      <c r="AS1504" s="4"/>
      <c r="AT1504" s="4"/>
      <c r="AU1504" s="4"/>
      <c r="AV1504" s="4"/>
      <c r="AW1504" s="4"/>
      <c r="AX1504" s="4"/>
      <c r="AY1504" s="4"/>
      <c r="AZ1504" s="4"/>
      <c r="BA1504" s="4"/>
      <c r="BB1504" s="4"/>
      <c r="BC1504" s="4"/>
      <c r="BD1504" s="4"/>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c r="CA1504" s="4"/>
      <c r="CB1504" s="4"/>
      <c r="CC1504" s="4"/>
      <c r="CD1504" s="4"/>
      <c r="CE1504" s="4"/>
      <c r="CF1504" s="4"/>
      <c r="CG1504" s="4"/>
      <c r="CH1504" s="4"/>
      <c r="CI1504" s="4"/>
      <c r="CJ1504" s="4"/>
      <c r="CK1504" s="4"/>
      <c r="CL1504" s="4"/>
      <c r="CM1504" s="4"/>
      <c r="CN1504" s="6"/>
      <c r="CO1504" s="7"/>
      <c r="CP1504" s="6"/>
      <c r="CQ1504" s="7"/>
      <c r="CR1504" s="6"/>
      <c r="CS1504" s="7"/>
      <c r="CT1504" s="8">
        <f t="shared" si="373"/>
        <v>0</v>
      </c>
      <c r="CU1504" s="9"/>
      <c r="CV1504" s="10"/>
      <c r="CW1504" s="11"/>
      <c r="CX1504" s="12"/>
      <c r="CY1504" s="26"/>
      <c r="CZ1504" s="12"/>
      <c r="DA1504" s="9"/>
      <c r="DB1504" s="10"/>
      <c r="DC1504" s="64"/>
      <c r="DD1504" s="22"/>
    </row>
    <row r="1505" spans="1:108" s="119" customFormat="1" ht="22.5" outlineLevel="2">
      <c r="A1505" s="178">
        <v>40370</v>
      </c>
      <c r="B1505" s="82" t="s">
        <v>1768</v>
      </c>
      <c r="C1505" s="82" t="s">
        <v>537</v>
      </c>
      <c r="D1505" s="165" t="s">
        <v>1262</v>
      </c>
      <c r="E1505" s="167"/>
      <c r="F1505" s="66"/>
      <c r="G1505" s="66"/>
      <c r="H1505" s="66">
        <v>72</v>
      </c>
      <c r="I1505" s="66">
        <v>17</v>
      </c>
      <c r="J1505" s="66"/>
      <c r="K1505" s="66">
        <v>17</v>
      </c>
      <c r="L1505" s="66"/>
      <c r="M1505" s="66"/>
      <c r="N1505" s="66"/>
      <c r="O1505" s="66"/>
      <c r="P1505" s="66"/>
      <c r="Q1505" s="66"/>
      <c r="R1505" s="66"/>
      <c r="S1505" s="66"/>
      <c r="T1505" s="67"/>
      <c r="U1505" s="151"/>
      <c r="V1505" s="1"/>
      <c r="W1505" s="68">
        <f t="shared" si="368"/>
        <v>0</v>
      </c>
      <c r="X1505" s="68">
        <f t="shared" si="369"/>
        <v>0</v>
      </c>
      <c r="Y1505" s="68">
        <f t="shared" si="370"/>
        <v>0</v>
      </c>
      <c r="Z1505" s="68">
        <f t="shared" si="371"/>
        <v>0</v>
      </c>
      <c r="AA1505" s="68"/>
      <c r="AB1505" s="68">
        <v>0</v>
      </c>
      <c r="AC1505" s="69">
        <f t="shared" si="372"/>
        <v>0</v>
      </c>
      <c r="AD1505" s="70">
        <v>0</v>
      </c>
      <c r="AE1505" s="63">
        <v>40371</v>
      </c>
      <c r="AF1505" s="72"/>
      <c r="AG1505" s="63" t="s">
        <v>938</v>
      </c>
      <c r="AH1505" s="23" t="s">
        <v>939</v>
      </c>
      <c r="AI1505" s="60"/>
      <c r="AJ1505" s="133" t="s">
        <v>1608</v>
      </c>
      <c r="AK1505" s="73" t="s">
        <v>1612</v>
      </c>
      <c r="AL1505" s="3"/>
      <c r="AM1505" s="4"/>
      <c r="AN1505" s="5"/>
      <c r="AO1505" s="4"/>
      <c r="AP1505" s="4"/>
      <c r="AQ1505" s="4"/>
      <c r="AR1505" s="4"/>
      <c r="AS1505" s="4"/>
      <c r="AT1505" s="4"/>
      <c r="AU1505" s="4"/>
      <c r="AV1505" s="4"/>
      <c r="AW1505" s="4"/>
      <c r="AX1505" s="4"/>
      <c r="AY1505" s="4"/>
      <c r="AZ1505" s="4"/>
      <c r="BA1505" s="4"/>
      <c r="BB1505" s="4"/>
      <c r="BC1505" s="4"/>
      <c r="BD1505" s="4"/>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c r="CA1505" s="4"/>
      <c r="CB1505" s="4"/>
      <c r="CC1505" s="4"/>
      <c r="CD1505" s="4"/>
      <c r="CE1505" s="4"/>
      <c r="CF1505" s="4"/>
      <c r="CG1505" s="4"/>
      <c r="CH1505" s="4"/>
      <c r="CI1505" s="4"/>
      <c r="CJ1505" s="4"/>
      <c r="CK1505" s="4"/>
      <c r="CL1505" s="4"/>
      <c r="CM1505" s="4"/>
      <c r="CN1505" s="6"/>
      <c r="CO1505" s="7"/>
      <c r="CP1505" s="6"/>
      <c r="CQ1505" s="7"/>
      <c r="CR1505" s="6"/>
      <c r="CS1505" s="7"/>
      <c r="CT1505" s="8">
        <f t="shared" si="373"/>
        <v>0</v>
      </c>
      <c r="CU1505" s="9"/>
      <c r="CV1505" s="10"/>
      <c r="CW1505" s="11"/>
      <c r="CX1505" s="12"/>
      <c r="CY1505" s="26"/>
      <c r="CZ1505" s="12"/>
      <c r="DA1505" s="9"/>
      <c r="DB1505" s="10"/>
      <c r="DC1505" s="64"/>
      <c r="DD1505" s="22"/>
    </row>
    <row r="1506" spans="1:108" s="119" customFormat="1" ht="24" outlineLevel="2">
      <c r="A1506" s="178">
        <v>40373</v>
      </c>
      <c r="B1506" s="82" t="s">
        <v>1768</v>
      </c>
      <c r="C1506" s="82" t="s">
        <v>1532</v>
      </c>
      <c r="D1506" s="165" t="s">
        <v>435</v>
      </c>
      <c r="E1506" s="167"/>
      <c r="F1506" s="66"/>
      <c r="G1506" s="66"/>
      <c r="H1506" s="66">
        <v>115</v>
      </c>
      <c r="I1506" s="66">
        <v>23</v>
      </c>
      <c r="J1506" s="66"/>
      <c r="K1506" s="66">
        <v>23</v>
      </c>
      <c r="L1506" s="66"/>
      <c r="M1506" s="66"/>
      <c r="N1506" s="66"/>
      <c r="O1506" s="66"/>
      <c r="P1506" s="66"/>
      <c r="Q1506" s="66"/>
      <c r="R1506" s="66"/>
      <c r="S1506" s="66"/>
      <c r="T1506" s="67"/>
      <c r="U1506" s="151"/>
      <c r="V1506" s="1"/>
      <c r="W1506" s="68">
        <f t="shared" si="368"/>
        <v>0</v>
      </c>
      <c r="X1506" s="68">
        <f t="shared" si="369"/>
        <v>0</v>
      </c>
      <c r="Y1506" s="68">
        <f t="shared" si="370"/>
        <v>0</v>
      </c>
      <c r="Z1506" s="68">
        <f t="shared" si="371"/>
        <v>0</v>
      </c>
      <c r="AA1506" s="68"/>
      <c r="AB1506" s="68">
        <v>0</v>
      </c>
      <c r="AC1506" s="69">
        <f t="shared" si="372"/>
        <v>0</v>
      </c>
      <c r="AD1506" s="70">
        <v>0</v>
      </c>
      <c r="AE1506" s="63">
        <v>40375</v>
      </c>
      <c r="AF1506" s="72"/>
      <c r="AG1506" s="63" t="s">
        <v>938</v>
      </c>
      <c r="AH1506" s="23" t="s">
        <v>939</v>
      </c>
      <c r="AI1506" s="60"/>
      <c r="AJ1506" s="133" t="s">
        <v>1608</v>
      </c>
      <c r="AK1506" s="73" t="s">
        <v>1417</v>
      </c>
      <c r="AL1506" s="3"/>
      <c r="AM1506" s="4"/>
      <c r="AN1506" s="5"/>
      <c r="AO1506" s="4"/>
      <c r="AP1506" s="4"/>
      <c r="AQ1506" s="4"/>
      <c r="AR1506" s="4"/>
      <c r="AS1506" s="4"/>
      <c r="AT1506" s="4"/>
      <c r="AU1506" s="4"/>
      <c r="AV1506" s="4"/>
      <c r="AW1506" s="4"/>
      <c r="AX1506" s="4"/>
      <c r="AY1506" s="4"/>
      <c r="AZ1506" s="4"/>
      <c r="BA1506" s="4"/>
      <c r="BB1506" s="4"/>
      <c r="BC1506" s="4"/>
      <c r="BD1506" s="4"/>
      <c r="BE1506" s="4"/>
      <c r="BF1506" s="4"/>
      <c r="BG1506" s="4"/>
      <c r="BH1506" s="4"/>
      <c r="BI1506" s="4"/>
      <c r="BJ1506" s="4"/>
      <c r="BK1506" s="4"/>
      <c r="BL1506" s="4"/>
      <c r="BM1506" s="4"/>
      <c r="BN1506" s="4"/>
      <c r="BO1506" s="4"/>
      <c r="BP1506" s="4"/>
      <c r="BQ1506" s="4"/>
      <c r="BR1506" s="4"/>
      <c r="BS1506" s="4"/>
      <c r="BT1506" s="4"/>
      <c r="BU1506" s="4"/>
      <c r="BV1506" s="4"/>
      <c r="BW1506" s="4"/>
      <c r="BX1506" s="4"/>
      <c r="BY1506" s="4"/>
      <c r="BZ1506" s="4"/>
      <c r="CA1506" s="4"/>
      <c r="CB1506" s="4"/>
      <c r="CC1506" s="4"/>
      <c r="CD1506" s="4"/>
      <c r="CE1506" s="4"/>
      <c r="CF1506" s="4"/>
      <c r="CG1506" s="4"/>
      <c r="CH1506" s="4"/>
      <c r="CI1506" s="4"/>
      <c r="CJ1506" s="4"/>
      <c r="CK1506" s="4"/>
      <c r="CL1506" s="4"/>
      <c r="CM1506" s="4"/>
      <c r="CN1506" s="6"/>
      <c r="CO1506" s="7"/>
      <c r="CP1506" s="6"/>
      <c r="CQ1506" s="7"/>
      <c r="CR1506" s="6"/>
      <c r="CS1506" s="7"/>
      <c r="CT1506" s="8">
        <f t="shared" si="373"/>
        <v>0</v>
      </c>
      <c r="CU1506" s="9"/>
      <c r="CV1506" s="10"/>
      <c r="CW1506" s="11"/>
      <c r="CX1506" s="12"/>
      <c r="CY1506" s="26"/>
      <c r="CZ1506" s="12"/>
      <c r="DA1506" s="9"/>
      <c r="DB1506" s="10"/>
      <c r="DC1506" s="64"/>
      <c r="DD1506" s="22"/>
    </row>
    <row r="1507" spans="1:108" s="119" customFormat="1" ht="22.5" outlineLevel="2">
      <c r="A1507" s="178">
        <v>40376</v>
      </c>
      <c r="B1507" s="82" t="s">
        <v>1768</v>
      </c>
      <c r="C1507" s="82" t="s">
        <v>1088</v>
      </c>
      <c r="D1507" s="165" t="s">
        <v>435</v>
      </c>
      <c r="E1507" s="167"/>
      <c r="F1507" s="66"/>
      <c r="G1507" s="66"/>
      <c r="H1507" s="66">
        <f>132*5</f>
        <v>660</v>
      </c>
      <c r="I1507" s="66">
        <v>132</v>
      </c>
      <c r="J1507" s="66"/>
      <c r="K1507" s="66">
        <v>132</v>
      </c>
      <c r="L1507" s="66"/>
      <c r="M1507" s="66"/>
      <c r="N1507" s="66"/>
      <c r="O1507" s="66"/>
      <c r="P1507" s="66"/>
      <c r="Q1507" s="66"/>
      <c r="R1507" s="66"/>
      <c r="S1507" s="66"/>
      <c r="T1507" s="67"/>
      <c r="U1507" s="151"/>
      <c r="V1507" s="1"/>
      <c r="W1507" s="68">
        <f t="shared" si="368"/>
        <v>0</v>
      </c>
      <c r="X1507" s="68">
        <f t="shared" si="369"/>
        <v>0</v>
      </c>
      <c r="Y1507" s="68">
        <f t="shared" si="370"/>
        <v>0</v>
      </c>
      <c r="Z1507" s="68">
        <f t="shared" si="371"/>
        <v>0</v>
      </c>
      <c r="AA1507" s="68"/>
      <c r="AB1507" s="68">
        <v>0</v>
      </c>
      <c r="AC1507" s="69">
        <f t="shared" si="372"/>
        <v>0</v>
      </c>
      <c r="AD1507" s="70">
        <v>0</v>
      </c>
      <c r="AE1507" s="63">
        <v>40389</v>
      </c>
      <c r="AF1507" s="72">
        <v>38013</v>
      </c>
      <c r="AG1507" s="63" t="s">
        <v>938</v>
      </c>
      <c r="AH1507" s="23" t="s">
        <v>939</v>
      </c>
      <c r="AI1507" s="60"/>
      <c r="AJ1507" s="133" t="s">
        <v>1608</v>
      </c>
      <c r="AK1507" s="73" t="s">
        <v>1612</v>
      </c>
      <c r="AL1507" s="3"/>
      <c r="AM1507" s="4"/>
      <c r="AN1507" s="5"/>
      <c r="AO1507" s="4"/>
      <c r="AP1507" s="4"/>
      <c r="AQ1507" s="4"/>
      <c r="AR1507" s="4"/>
      <c r="AS1507" s="4"/>
      <c r="AT1507" s="4"/>
      <c r="AU1507" s="4"/>
      <c r="AV1507" s="4"/>
      <c r="AW1507" s="4"/>
      <c r="AX1507" s="4"/>
      <c r="AY1507" s="4"/>
      <c r="AZ1507" s="4"/>
      <c r="BA1507" s="4"/>
      <c r="BB1507" s="4"/>
      <c r="BC1507" s="4"/>
      <c r="BD1507" s="4"/>
      <c r="BE1507" s="4"/>
      <c r="BF1507" s="4"/>
      <c r="BG1507" s="4"/>
      <c r="BH1507" s="4"/>
      <c r="BI1507" s="4"/>
      <c r="BJ1507" s="4"/>
      <c r="BK1507" s="4"/>
      <c r="BL1507" s="4"/>
      <c r="BM1507" s="4"/>
      <c r="BN1507" s="4"/>
      <c r="BO1507" s="4"/>
      <c r="BP1507" s="4"/>
      <c r="BQ1507" s="4"/>
      <c r="BR1507" s="4"/>
      <c r="BS1507" s="4"/>
      <c r="BT1507" s="4"/>
      <c r="BU1507" s="4"/>
      <c r="BV1507" s="4"/>
      <c r="BW1507" s="4"/>
      <c r="BX1507" s="4"/>
      <c r="BY1507" s="4"/>
      <c r="BZ1507" s="4"/>
      <c r="CA1507" s="4"/>
      <c r="CB1507" s="4"/>
      <c r="CC1507" s="4"/>
      <c r="CD1507" s="4"/>
      <c r="CE1507" s="4"/>
      <c r="CF1507" s="4"/>
      <c r="CG1507" s="4"/>
      <c r="CH1507" s="4"/>
      <c r="CI1507" s="4"/>
      <c r="CJ1507" s="4"/>
      <c r="CK1507" s="4"/>
      <c r="CL1507" s="4"/>
      <c r="CM1507" s="4"/>
      <c r="CN1507" s="6"/>
      <c r="CO1507" s="7"/>
      <c r="CP1507" s="6"/>
      <c r="CQ1507" s="7"/>
      <c r="CR1507" s="6"/>
      <c r="CS1507" s="7"/>
      <c r="CT1507" s="8">
        <f t="shared" si="373"/>
        <v>0</v>
      </c>
      <c r="CU1507" s="9"/>
      <c r="CV1507" s="10"/>
      <c r="CW1507" s="11"/>
      <c r="CX1507" s="12"/>
      <c r="CY1507" s="26"/>
      <c r="CZ1507" s="12"/>
      <c r="DA1507" s="9"/>
      <c r="DB1507" s="10"/>
      <c r="DC1507" s="64"/>
      <c r="DD1507" s="22"/>
    </row>
    <row r="1508" spans="1:108" s="119" customFormat="1" ht="36" outlineLevel="2">
      <c r="A1508" s="178">
        <v>40386</v>
      </c>
      <c r="B1508" s="82" t="s">
        <v>1768</v>
      </c>
      <c r="C1508" s="82" t="s">
        <v>535</v>
      </c>
      <c r="D1508" s="165" t="s">
        <v>1262</v>
      </c>
      <c r="E1508" s="167"/>
      <c r="F1508" s="66"/>
      <c r="G1508" s="66"/>
      <c r="H1508" s="66">
        <v>100</v>
      </c>
      <c r="I1508" s="66">
        <v>20</v>
      </c>
      <c r="J1508" s="66"/>
      <c r="K1508" s="66">
        <v>20</v>
      </c>
      <c r="L1508" s="66"/>
      <c r="M1508" s="66"/>
      <c r="N1508" s="66"/>
      <c r="O1508" s="66"/>
      <c r="P1508" s="66"/>
      <c r="Q1508" s="66"/>
      <c r="R1508" s="66"/>
      <c r="S1508" s="66"/>
      <c r="T1508" s="67"/>
      <c r="U1508" s="151"/>
      <c r="V1508" s="1"/>
      <c r="W1508" s="68">
        <f t="shared" si="368"/>
        <v>0</v>
      </c>
      <c r="X1508" s="68">
        <f t="shared" si="369"/>
        <v>0</v>
      </c>
      <c r="Y1508" s="68">
        <f t="shared" si="370"/>
        <v>0</v>
      </c>
      <c r="Z1508" s="68">
        <f t="shared" si="371"/>
        <v>0</v>
      </c>
      <c r="AA1508" s="68"/>
      <c r="AB1508" s="68">
        <v>0</v>
      </c>
      <c r="AC1508" s="69">
        <f t="shared" si="372"/>
        <v>0</v>
      </c>
      <c r="AD1508" s="70">
        <v>0</v>
      </c>
      <c r="AE1508" s="63">
        <v>40387</v>
      </c>
      <c r="AF1508" s="72"/>
      <c r="AG1508" s="63" t="s">
        <v>938</v>
      </c>
      <c r="AH1508" s="23" t="s">
        <v>939</v>
      </c>
      <c r="AI1508" s="60"/>
      <c r="AJ1508" s="133" t="s">
        <v>1608</v>
      </c>
      <c r="AK1508" s="73" t="s">
        <v>1446</v>
      </c>
      <c r="AL1508" s="3"/>
      <c r="AM1508" s="4"/>
      <c r="AN1508" s="5"/>
      <c r="AO1508" s="4"/>
      <c r="AP1508" s="4"/>
      <c r="AQ1508" s="4"/>
      <c r="AR1508" s="4"/>
      <c r="AS1508" s="4"/>
      <c r="AT1508" s="4"/>
      <c r="AU1508" s="4"/>
      <c r="AV1508" s="4"/>
      <c r="AW1508" s="4"/>
      <c r="AX1508" s="4"/>
      <c r="AY1508" s="4"/>
      <c r="AZ1508" s="4"/>
      <c r="BA1508" s="4"/>
      <c r="BB1508" s="4"/>
      <c r="BC1508" s="4"/>
      <c r="BD1508" s="4"/>
      <c r="BE1508" s="4"/>
      <c r="BF1508" s="4"/>
      <c r="BG1508" s="4"/>
      <c r="BH1508" s="4"/>
      <c r="BI1508" s="4"/>
      <c r="BJ1508" s="4"/>
      <c r="BK1508" s="4"/>
      <c r="BL1508" s="4"/>
      <c r="BM1508" s="4"/>
      <c r="BN1508" s="4"/>
      <c r="BO1508" s="4"/>
      <c r="BP1508" s="4"/>
      <c r="BQ1508" s="4"/>
      <c r="BR1508" s="4"/>
      <c r="BS1508" s="4"/>
      <c r="BT1508" s="4"/>
      <c r="BU1508" s="4"/>
      <c r="BV1508" s="4"/>
      <c r="BW1508" s="4"/>
      <c r="BX1508" s="4"/>
      <c r="BY1508" s="4"/>
      <c r="BZ1508" s="4"/>
      <c r="CA1508" s="4"/>
      <c r="CB1508" s="4"/>
      <c r="CC1508" s="4"/>
      <c r="CD1508" s="4"/>
      <c r="CE1508" s="4"/>
      <c r="CF1508" s="4"/>
      <c r="CG1508" s="4"/>
      <c r="CH1508" s="4"/>
      <c r="CI1508" s="4"/>
      <c r="CJ1508" s="4"/>
      <c r="CK1508" s="4"/>
      <c r="CL1508" s="4"/>
      <c r="CM1508" s="4"/>
      <c r="CN1508" s="6"/>
      <c r="CO1508" s="7"/>
      <c r="CP1508" s="6"/>
      <c r="CQ1508" s="7"/>
      <c r="CR1508" s="6"/>
      <c r="CS1508" s="7"/>
      <c r="CT1508" s="8">
        <f t="shared" si="373"/>
        <v>0</v>
      </c>
      <c r="CU1508" s="9"/>
      <c r="CV1508" s="10"/>
      <c r="CW1508" s="11"/>
      <c r="CX1508" s="12"/>
      <c r="CY1508" s="26"/>
      <c r="CZ1508" s="12"/>
      <c r="DA1508" s="9"/>
      <c r="DB1508" s="10"/>
      <c r="DC1508" s="64"/>
      <c r="DD1508" s="22"/>
    </row>
    <row r="1509" spans="1:108" s="119" customFormat="1" ht="72" outlineLevel="2">
      <c r="A1509" s="178">
        <v>40409</v>
      </c>
      <c r="B1509" s="82" t="s">
        <v>1768</v>
      </c>
      <c r="C1509" s="82" t="s">
        <v>1692</v>
      </c>
      <c r="D1509" s="165" t="s">
        <v>435</v>
      </c>
      <c r="E1509" s="167"/>
      <c r="F1509" s="66"/>
      <c r="G1509" s="66"/>
      <c r="H1509" s="66">
        <f>118*5</f>
        <v>590</v>
      </c>
      <c r="I1509" s="66">
        <v>118</v>
      </c>
      <c r="J1509" s="66"/>
      <c r="K1509" s="66">
        <v>118</v>
      </c>
      <c r="L1509" s="66"/>
      <c r="M1509" s="66"/>
      <c r="N1509" s="66"/>
      <c r="O1509" s="66"/>
      <c r="P1509" s="66"/>
      <c r="Q1509" s="66"/>
      <c r="R1509" s="66"/>
      <c r="S1509" s="66"/>
      <c r="T1509" s="67"/>
      <c r="U1509" s="151"/>
      <c r="V1509" s="1"/>
      <c r="W1509" s="68">
        <f t="shared" ref="W1509:W1540" si="374">CT1509</f>
        <v>0</v>
      </c>
      <c r="X1509" s="68">
        <f t="shared" ref="X1509:X1540" si="375">CX1509</f>
        <v>0</v>
      </c>
      <c r="Y1509" s="68">
        <f t="shared" ref="Y1509:Y1540" si="376">CZ1509+DB1509</f>
        <v>0</v>
      </c>
      <c r="Z1509" s="68">
        <f t="shared" ref="Z1509:Z1540" si="377">CV1509</f>
        <v>0</v>
      </c>
      <c r="AA1509" s="68"/>
      <c r="AB1509" s="68">
        <v>0</v>
      </c>
      <c r="AC1509" s="69">
        <f t="shared" ref="AC1509:AC1540" si="378">W1509+X1509+Y1509+Z1509+AA1509+AB1509</f>
        <v>0</v>
      </c>
      <c r="AD1509" s="70">
        <v>0</v>
      </c>
      <c r="AE1509" s="63">
        <v>40413</v>
      </c>
      <c r="AF1509" s="72"/>
      <c r="AG1509" s="63" t="s">
        <v>938</v>
      </c>
      <c r="AH1509" s="23" t="s">
        <v>939</v>
      </c>
      <c r="AI1509" s="60"/>
      <c r="AJ1509" s="133" t="s">
        <v>1608</v>
      </c>
      <c r="AK1509" s="73" t="s">
        <v>2326</v>
      </c>
      <c r="AL1509" s="3"/>
      <c r="AM1509" s="4"/>
      <c r="AN1509" s="5"/>
      <c r="AO1509" s="4"/>
      <c r="AP1509" s="4"/>
      <c r="AQ1509" s="4"/>
      <c r="AR1509" s="4"/>
      <c r="AS1509" s="4"/>
      <c r="AT1509" s="4"/>
      <c r="AU1509" s="4"/>
      <c r="AV1509" s="4"/>
      <c r="AW1509" s="4"/>
      <c r="AX1509" s="4"/>
      <c r="AY1509" s="4"/>
      <c r="AZ1509" s="4"/>
      <c r="BA1509" s="4"/>
      <c r="BB1509" s="4"/>
      <c r="BC1509" s="4"/>
      <c r="BD1509" s="4"/>
      <c r="BE1509" s="4"/>
      <c r="BF1509" s="4"/>
      <c r="BG1509" s="4"/>
      <c r="BH1509" s="4"/>
      <c r="BI1509" s="4"/>
      <c r="BJ1509" s="4"/>
      <c r="BK1509" s="4"/>
      <c r="BL1509" s="4"/>
      <c r="BM1509" s="4"/>
      <c r="BN1509" s="4"/>
      <c r="BO1509" s="4"/>
      <c r="BP1509" s="4"/>
      <c r="BQ1509" s="4"/>
      <c r="BR1509" s="4"/>
      <c r="BS1509" s="4"/>
      <c r="BT1509" s="4"/>
      <c r="BU1509" s="4"/>
      <c r="BV1509" s="4"/>
      <c r="BW1509" s="4"/>
      <c r="BX1509" s="4"/>
      <c r="BY1509" s="4"/>
      <c r="BZ1509" s="4"/>
      <c r="CA1509" s="4"/>
      <c r="CB1509" s="4"/>
      <c r="CC1509" s="4"/>
      <c r="CD1509" s="4"/>
      <c r="CE1509" s="4"/>
      <c r="CF1509" s="4"/>
      <c r="CG1509" s="4"/>
      <c r="CH1509" s="4"/>
      <c r="CI1509" s="4"/>
      <c r="CJ1509" s="4"/>
      <c r="CK1509" s="4"/>
      <c r="CL1509" s="4"/>
      <c r="CM1509" s="4"/>
      <c r="CN1509" s="6"/>
      <c r="CO1509" s="7"/>
      <c r="CP1509" s="6"/>
      <c r="CQ1509" s="7"/>
      <c r="CR1509" s="6"/>
      <c r="CS1509" s="7"/>
      <c r="CT1509" s="8">
        <f t="shared" ref="CT1509:CT1540" si="379">AM1509+AO1509+AQ1509+AS1509+AU1509+AW1509+AY1509+BA1509+BC1509+BE1509+BG1509+BI1509+BK1509+BM1509+BO1509+BQ1509+BS1509+BU1509+BW1509+BY1509+CA1509+CC1509+CE1509+CG1509+CI1509+CK1509+CM1509+CO1509+CQ1509+CS1509</f>
        <v>0</v>
      </c>
      <c r="CU1509" s="9"/>
      <c r="CV1509" s="10"/>
      <c r="CW1509" s="11"/>
      <c r="CX1509" s="12"/>
      <c r="CY1509" s="26"/>
      <c r="CZ1509" s="12"/>
      <c r="DA1509" s="9"/>
      <c r="DB1509" s="10"/>
      <c r="DC1509" s="64"/>
      <c r="DD1509" s="22"/>
    </row>
    <row r="1510" spans="1:108" s="119" customFormat="1" ht="78.75" outlineLevel="2">
      <c r="A1510" s="178">
        <v>40422</v>
      </c>
      <c r="B1510" s="164" t="s">
        <v>1768</v>
      </c>
      <c r="C1510" s="164" t="s">
        <v>203</v>
      </c>
      <c r="D1510" s="166" t="s">
        <v>1262</v>
      </c>
      <c r="E1510" s="163"/>
      <c r="F1510" s="105"/>
      <c r="G1510" s="105"/>
      <c r="H1510" s="105">
        <f>537*5</f>
        <v>2685</v>
      </c>
      <c r="I1510" s="105">
        <f>45+130+125+35+52+150</f>
        <v>537</v>
      </c>
      <c r="J1510" s="105"/>
      <c r="K1510" s="105"/>
      <c r="L1510" s="105">
        <v>1</v>
      </c>
      <c r="M1510" s="105"/>
      <c r="N1510" s="105"/>
      <c r="O1510" s="105">
        <v>5</v>
      </c>
      <c r="P1510" s="105"/>
      <c r="Q1510" s="105"/>
      <c r="R1510" s="105"/>
      <c r="S1510" s="105"/>
      <c r="T1510" s="106"/>
      <c r="U1510" s="130"/>
      <c r="V1510" s="1"/>
      <c r="W1510" s="68">
        <f t="shared" si="374"/>
        <v>0</v>
      </c>
      <c r="X1510" s="68">
        <f t="shared" si="375"/>
        <v>0</v>
      </c>
      <c r="Y1510" s="68">
        <f t="shared" si="376"/>
        <v>0</v>
      </c>
      <c r="Z1510" s="68">
        <f t="shared" si="377"/>
        <v>0</v>
      </c>
      <c r="AA1510" s="68"/>
      <c r="AB1510" s="68">
        <v>0</v>
      </c>
      <c r="AC1510" s="69">
        <f t="shared" si="378"/>
        <v>0</v>
      </c>
      <c r="AD1510" s="70">
        <v>0</v>
      </c>
      <c r="AE1510" s="63">
        <v>40455</v>
      </c>
      <c r="AF1510" s="72">
        <v>53241</v>
      </c>
      <c r="AG1510" s="63" t="s">
        <v>938</v>
      </c>
      <c r="AH1510" s="23" t="s">
        <v>939</v>
      </c>
      <c r="AI1510" s="60"/>
      <c r="AJ1510" s="124" t="s">
        <v>1608</v>
      </c>
      <c r="AK1510" s="135" t="s">
        <v>204</v>
      </c>
      <c r="AL1510" s="107"/>
      <c r="AM1510" s="108"/>
      <c r="AN1510" s="109"/>
      <c r="AO1510" s="108"/>
      <c r="AP1510" s="108"/>
      <c r="AQ1510" s="108"/>
      <c r="AR1510" s="108"/>
      <c r="AS1510" s="108"/>
      <c r="AT1510" s="108"/>
      <c r="AU1510" s="108"/>
      <c r="AV1510" s="108"/>
      <c r="AW1510" s="108"/>
      <c r="AX1510" s="108"/>
      <c r="AY1510" s="108"/>
      <c r="AZ1510" s="108"/>
      <c r="BA1510" s="108"/>
      <c r="BB1510" s="108"/>
      <c r="BC1510" s="108"/>
      <c r="BD1510" s="108"/>
      <c r="BE1510" s="108"/>
      <c r="BF1510" s="108"/>
      <c r="BG1510" s="108"/>
      <c r="BH1510" s="108"/>
      <c r="BI1510" s="108"/>
      <c r="BJ1510" s="108"/>
      <c r="BK1510" s="108"/>
      <c r="BL1510" s="108"/>
      <c r="BM1510" s="108"/>
      <c r="BN1510" s="108"/>
      <c r="BO1510" s="108"/>
      <c r="BP1510" s="108"/>
      <c r="BQ1510" s="108"/>
      <c r="BR1510" s="108"/>
      <c r="BS1510" s="108"/>
      <c r="BT1510" s="108"/>
      <c r="BU1510" s="108"/>
      <c r="BV1510" s="108"/>
      <c r="BW1510" s="108"/>
      <c r="BX1510" s="108"/>
      <c r="BY1510" s="108"/>
      <c r="BZ1510" s="108"/>
      <c r="CA1510" s="108"/>
      <c r="CB1510" s="108"/>
      <c r="CC1510" s="108"/>
      <c r="CD1510" s="108"/>
      <c r="CE1510" s="108"/>
      <c r="CF1510" s="108"/>
      <c r="CG1510" s="108"/>
      <c r="CH1510" s="108"/>
      <c r="CI1510" s="108"/>
      <c r="CJ1510" s="108"/>
      <c r="CK1510" s="108"/>
      <c r="CL1510" s="108"/>
      <c r="CM1510" s="108"/>
      <c r="CN1510" s="110"/>
      <c r="CO1510" s="111"/>
      <c r="CP1510" s="110"/>
      <c r="CQ1510" s="111"/>
      <c r="CR1510" s="110"/>
      <c r="CS1510" s="111"/>
      <c r="CT1510" s="112">
        <f t="shared" si="379"/>
        <v>0</v>
      </c>
      <c r="CU1510" s="113"/>
      <c r="CV1510" s="114"/>
      <c r="CW1510" s="115"/>
      <c r="CX1510" s="116"/>
      <c r="CY1510" s="117"/>
      <c r="CZ1510" s="116"/>
      <c r="DA1510" s="113"/>
      <c r="DB1510" s="114"/>
      <c r="DC1510" s="64"/>
      <c r="DD1510" s="118"/>
    </row>
    <row r="1511" spans="1:108" s="119" customFormat="1" ht="84" outlineLevel="2">
      <c r="A1511" s="178">
        <v>40423</v>
      </c>
      <c r="B1511" s="164" t="s">
        <v>1768</v>
      </c>
      <c r="C1511" s="164" t="s">
        <v>203</v>
      </c>
      <c r="D1511" s="166" t="s">
        <v>435</v>
      </c>
      <c r="E1511" s="163"/>
      <c r="F1511" s="105"/>
      <c r="G1511" s="105"/>
      <c r="H1511" s="105">
        <v>503</v>
      </c>
      <c r="I1511" s="105">
        <v>372</v>
      </c>
      <c r="J1511" s="105"/>
      <c r="K1511" s="105">
        <v>372</v>
      </c>
      <c r="L1511" s="105"/>
      <c r="M1511" s="105"/>
      <c r="N1511" s="105"/>
      <c r="O1511" s="105"/>
      <c r="P1511" s="105"/>
      <c r="Q1511" s="105"/>
      <c r="R1511" s="105"/>
      <c r="S1511" s="105"/>
      <c r="T1511" s="106"/>
      <c r="U1511" s="130"/>
      <c r="V1511" s="1"/>
      <c r="W1511" s="68">
        <f t="shared" si="374"/>
        <v>0</v>
      </c>
      <c r="X1511" s="68">
        <f t="shared" si="375"/>
        <v>0</v>
      </c>
      <c r="Y1511" s="68">
        <f t="shared" si="376"/>
        <v>0</v>
      </c>
      <c r="Z1511" s="68">
        <f t="shared" si="377"/>
        <v>0</v>
      </c>
      <c r="AA1511" s="68"/>
      <c r="AB1511" s="68">
        <v>0</v>
      </c>
      <c r="AC1511" s="69">
        <f t="shared" si="378"/>
        <v>0</v>
      </c>
      <c r="AD1511" s="70">
        <v>0</v>
      </c>
      <c r="AE1511" s="63">
        <v>40483</v>
      </c>
      <c r="AF1511" s="72"/>
      <c r="AG1511" s="63" t="s">
        <v>938</v>
      </c>
      <c r="AH1511" s="23" t="s">
        <v>939</v>
      </c>
      <c r="AI1511" s="60"/>
      <c r="AJ1511" s="124" t="s">
        <v>1608</v>
      </c>
      <c r="AK1511" s="121" t="s">
        <v>96</v>
      </c>
      <c r="AL1511" s="107"/>
      <c r="AM1511" s="108"/>
      <c r="AN1511" s="109"/>
      <c r="AO1511" s="108"/>
      <c r="AP1511" s="108"/>
      <c r="AQ1511" s="108"/>
      <c r="AR1511" s="108"/>
      <c r="AS1511" s="108"/>
      <c r="AT1511" s="108"/>
      <c r="AU1511" s="108"/>
      <c r="AV1511" s="108"/>
      <c r="AW1511" s="108"/>
      <c r="AX1511" s="108"/>
      <c r="AY1511" s="108"/>
      <c r="AZ1511" s="108"/>
      <c r="BA1511" s="108"/>
      <c r="BB1511" s="108"/>
      <c r="BC1511" s="108"/>
      <c r="BD1511" s="108"/>
      <c r="BE1511" s="108"/>
      <c r="BF1511" s="108"/>
      <c r="BG1511" s="108"/>
      <c r="BH1511" s="108"/>
      <c r="BI1511" s="108"/>
      <c r="BJ1511" s="108"/>
      <c r="BK1511" s="108"/>
      <c r="BL1511" s="108"/>
      <c r="BM1511" s="108"/>
      <c r="BN1511" s="108"/>
      <c r="BO1511" s="108"/>
      <c r="BP1511" s="108"/>
      <c r="BQ1511" s="108"/>
      <c r="BR1511" s="108"/>
      <c r="BS1511" s="108"/>
      <c r="BT1511" s="108"/>
      <c r="BU1511" s="108"/>
      <c r="BV1511" s="108"/>
      <c r="BW1511" s="108"/>
      <c r="BX1511" s="108"/>
      <c r="BY1511" s="108"/>
      <c r="BZ1511" s="108"/>
      <c r="CA1511" s="108"/>
      <c r="CB1511" s="108"/>
      <c r="CC1511" s="108"/>
      <c r="CD1511" s="108"/>
      <c r="CE1511" s="108"/>
      <c r="CF1511" s="108"/>
      <c r="CG1511" s="108"/>
      <c r="CH1511" s="108"/>
      <c r="CI1511" s="108"/>
      <c r="CJ1511" s="108"/>
      <c r="CK1511" s="108"/>
      <c r="CL1511" s="108"/>
      <c r="CM1511" s="108"/>
      <c r="CN1511" s="110"/>
      <c r="CO1511" s="111"/>
      <c r="CP1511" s="110"/>
      <c r="CQ1511" s="111"/>
      <c r="CR1511" s="110"/>
      <c r="CS1511" s="111"/>
      <c r="CT1511" s="112">
        <f t="shared" si="379"/>
        <v>0</v>
      </c>
      <c r="CU1511" s="113"/>
      <c r="CV1511" s="114"/>
      <c r="CW1511" s="115"/>
      <c r="CX1511" s="116"/>
      <c r="CY1511" s="117"/>
      <c r="CZ1511" s="116"/>
      <c r="DA1511" s="113"/>
      <c r="DB1511" s="114"/>
      <c r="DC1511" s="64"/>
      <c r="DD1511" s="118"/>
    </row>
    <row r="1512" spans="1:108" s="119" customFormat="1" ht="180" outlineLevel="2">
      <c r="A1512" s="178">
        <v>40429</v>
      </c>
      <c r="B1512" s="174" t="s">
        <v>1768</v>
      </c>
      <c r="C1512" s="174" t="s">
        <v>858</v>
      </c>
      <c r="D1512" s="179" t="s">
        <v>435</v>
      </c>
      <c r="E1512" s="163"/>
      <c r="F1512" s="105"/>
      <c r="G1512" s="105"/>
      <c r="H1512" s="105">
        <v>2000</v>
      </c>
      <c r="I1512" s="105">
        <v>405</v>
      </c>
      <c r="J1512" s="105">
        <v>5</v>
      </c>
      <c r="K1512" s="105">
        <v>400</v>
      </c>
      <c r="L1512" s="105"/>
      <c r="M1512" s="105"/>
      <c r="N1512" s="105"/>
      <c r="O1512" s="105"/>
      <c r="P1512" s="105"/>
      <c r="Q1512" s="105"/>
      <c r="R1512" s="105"/>
      <c r="S1512" s="105">
        <v>6</v>
      </c>
      <c r="T1512" s="106"/>
      <c r="U1512" s="130"/>
      <c r="V1512" s="1">
        <v>40452</v>
      </c>
      <c r="W1512" s="68">
        <f t="shared" si="374"/>
        <v>72798236</v>
      </c>
      <c r="X1512" s="68">
        <f t="shared" si="375"/>
        <v>33999384</v>
      </c>
      <c r="Y1512" s="68">
        <f t="shared" si="376"/>
        <v>58499910.000000007</v>
      </c>
      <c r="Z1512" s="68">
        <f t="shared" si="377"/>
        <v>0</v>
      </c>
      <c r="AA1512" s="68"/>
      <c r="AB1512" s="68">
        <v>0</v>
      </c>
      <c r="AC1512" s="69">
        <f t="shared" si="378"/>
        <v>165297530</v>
      </c>
      <c r="AD1512" s="70">
        <v>0</v>
      </c>
      <c r="AE1512" s="63">
        <v>40429</v>
      </c>
      <c r="AF1512" s="72">
        <v>47553</v>
      </c>
      <c r="AG1512" s="63" t="s">
        <v>954</v>
      </c>
      <c r="AH1512" s="23" t="s">
        <v>955</v>
      </c>
      <c r="AI1512" s="60">
        <v>20704</v>
      </c>
      <c r="AJ1512" s="124" t="s">
        <v>1476</v>
      </c>
      <c r="AK1512" s="121" t="s">
        <v>1325</v>
      </c>
      <c r="AL1512" s="107"/>
      <c r="AM1512" s="108"/>
      <c r="AN1512" s="109"/>
      <c r="AO1512" s="108"/>
      <c r="AP1512" s="108"/>
      <c r="AQ1512" s="108"/>
      <c r="AR1512" s="108"/>
      <c r="AS1512" s="108"/>
      <c r="AT1512" s="108">
        <v>800</v>
      </c>
      <c r="AU1512" s="108">
        <f>800*20998.32</f>
        <v>16798656</v>
      </c>
      <c r="AV1512" s="108"/>
      <c r="AW1512" s="108"/>
      <c r="AX1512" s="108">
        <v>1000</v>
      </c>
      <c r="AY1512" s="108">
        <f>1000*55999.58</f>
        <v>55999580</v>
      </c>
      <c r="AZ1512" s="108"/>
      <c r="BA1512" s="108"/>
      <c r="BB1512" s="108"/>
      <c r="BC1512" s="108"/>
      <c r="BD1512" s="108"/>
      <c r="BE1512" s="108"/>
      <c r="BF1512" s="108"/>
      <c r="BG1512" s="108"/>
      <c r="BH1512" s="108"/>
      <c r="BI1512" s="108"/>
      <c r="BJ1512" s="108"/>
      <c r="BK1512" s="108"/>
      <c r="BL1512" s="108"/>
      <c r="BM1512" s="108"/>
      <c r="BN1512" s="108"/>
      <c r="BO1512" s="108"/>
      <c r="BP1512" s="108"/>
      <c r="BQ1512" s="108"/>
      <c r="BR1512" s="108"/>
      <c r="BS1512" s="108"/>
      <c r="BT1512" s="108"/>
      <c r="BU1512" s="108"/>
      <c r="BV1512" s="108"/>
      <c r="BW1512" s="108"/>
      <c r="BX1512" s="108"/>
      <c r="BY1512" s="108"/>
      <c r="BZ1512" s="108"/>
      <c r="CA1512" s="108"/>
      <c r="CB1512" s="108"/>
      <c r="CC1512" s="108"/>
      <c r="CD1512" s="108"/>
      <c r="CE1512" s="108"/>
      <c r="CF1512" s="108"/>
      <c r="CG1512" s="108"/>
      <c r="CH1512" s="108"/>
      <c r="CI1512" s="108"/>
      <c r="CJ1512" s="108"/>
      <c r="CK1512" s="108"/>
      <c r="CL1512" s="108"/>
      <c r="CM1512" s="108"/>
      <c r="CN1512" s="110"/>
      <c r="CO1512" s="111"/>
      <c r="CP1512" s="110"/>
      <c r="CQ1512" s="111"/>
      <c r="CR1512" s="110"/>
      <c r="CS1512" s="111"/>
      <c r="CT1512" s="112">
        <f t="shared" si="379"/>
        <v>72798236</v>
      </c>
      <c r="CU1512" s="113"/>
      <c r="CV1512" s="114"/>
      <c r="CW1512" s="115">
        <v>400</v>
      </c>
      <c r="CX1512" s="116">
        <f>400*84998.46</f>
        <v>33999384</v>
      </c>
      <c r="CY1512" s="117"/>
      <c r="CZ1512" s="116"/>
      <c r="DA1512" s="113">
        <v>3000</v>
      </c>
      <c r="DB1512" s="114">
        <f>3000*18999.99+6000*249.99</f>
        <v>58499910.000000007</v>
      </c>
      <c r="DC1512" s="64"/>
      <c r="DD1512" s="118"/>
    </row>
    <row r="1513" spans="1:108" s="119" customFormat="1" ht="60" outlineLevel="2">
      <c r="A1513" s="178">
        <v>40436</v>
      </c>
      <c r="B1513" s="164" t="s">
        <v>1768</v>
      </c>
      <c r="C1513" s="164" t="s">
        <v>1865</v>
      </c>
      <c r="D1513" s="166" t="s">
        <v>435</v>
      </c>
      <c r="E1513" s="163"/>
      <c r="F1513" s="105"/>
      <c r="G1513" s="105"/>
      <c r="H1513" s="105">
        <f>160*5</f>
        <v>800</v>
      </c>
      <c r="I1513" s="105">
        <v>160</v>
      </c>
      <c r="J1513" s="105"/>
      <c r="K1513" s="105">
        <v>160</v>
      </c>
      <c r="L1513" s="105"/>
      <c r="M1513" s="105"/>
      <c r="N1513" s="105"/>
      <c r="O1513" s="105"/>
      <c r="P1513" s="105"/>
      <c r="Q1513" s="105"/>
      <c r="R1513" s="105"/>
      <c r="S1513" s="105"/>
      <c r="T1513" s="106"/>
      <c r="U1513" s="130"/>
      <c r="V1513" s="1"/>
      <c r="W1513" s="68">
        <f t="shared" si="374"/>
        <v>0</v>
      </c>
      <c r="X1513" s="68">
        <f t="shared" si="375"/>
        <v>0</v>
      </c>
      <c r="Y1513" s="68">
        <f t="shared" si="376"/>
        <v>0</v>
      </c>
      <c r="Z1513" s="68">
        <f t="shared" si="377"/>
        <v>0</v>
      </c>
      <c r="AA1513" s="68"/>
      <c r="AB1513" s="68">
        <v>0</v>
      </c>
      <c r="AC1513" s="69">
        <f t="shared" si="378"/>
        <v>0</v>
      </c>
      <c r="AD1513" s="70">
        <v>26166000</v>
      </c>
      <c r="AE1513" s="63">
        <v>40483</v>
      </c>
      <c r="AF1513" s="72"/>
      <c r="AG1513" s="63" t="s">
        <v>954</v>
      </c>
      <c r="AH1513" s="23" t="s">
        <v>955</v>
      </c>
      <c r="AI1513" s="60"/>
      <c r="AJ1513" s="124" t="s">
        <v>1608</v>
      </c>
      <c r="AK1513" s="121" t="s">
        <v>95</v>
      </c>
      <c r="AL1513" s="107"/>
      <c r="AM1513" s="108"/>
      <c r="AN1513" s="109"/>
      <c r="AO1513" s="108"/>
      <c r="AP1513" s="108"/>
      <c r="AQ1513" s="108"/>
      <c r="AR1513" s="108"/>
      <c r="AS1513" s="108"/>
      <c r="AT1513" s="108"/>
      <c r="AU1513" s="108"/>
      <c r="AV1513" s="108"/>
      <c r="AW1513" s="108"/>
      <c r="AX1513" s="108"/>
      <c r="AY1513" s="108"/>
      <c r="AZ1513" s="108"/>
      <c r="BA1513" s="108"/>
      <c r="BB1513" s="108"/>
      <c r="BC1513" s="108"/>
      <c r="BD1513" s="108"/>
      <c r="BE1513" s="108"/>
      <c r="BF1513" s="108"/>
      <c r="BG1513" s="108"/>
      <c r="BH1513" s="108"/>
      <c r="BI1513" s="108"/>
      <c r="BJ1513" s="108"/>
      <c r="BK1513" s="108"/>
      <c r="BL1513" s="108"/>
      <c r="BM1513" s="108"/>
      <c r="BN1513" s="108"/>
      <c r="BO1513" s="108"/>
      <c r="BP1513" s="108"/>
      <c r="BQ1513" s="108"/>
      <c r="BR1513" s="108"/>
      <c r="BS1513" s="108"/>
      <c r="BT1513" s="108"/>
      <c r="BU1513" s="108"/>
      <c r="BV1513" s="108"/>
      <c r="BW1513" s="108"/>
      <c r="BX1513" s="108"/>
      <c r="BY1513" s="108"/>
      <c r="BZ1513" s="108"/>
      <c r="CA1513" s="108"/>
      <c r="CB1513" s="108"/>
      <c r="CC1513" s="108"/>
      <c r="CD1513" s="108"/>
      <c r="CE1513" s="108"/>
      <c r="CF1513" s="108"/>
      <c r="CG1513" s="108"/>
      <c r="CH1513" s="108"/>
      <c r="CI1513" s="108"/>
      <c r="CJ1513" s="108"/>
      <c r="CK1513" s="108"/>
      <c r="CL1513" s="108"/>
      <c r="CM1513" s="108"/>
      <c r="CN1513" s="110"/>
      <c r="CO1513" s="111"/>
      <c r="CP1513" s="110"/>
      <c r="CQ1513" s="111"/>
      <c r="CR1513" s="110"/>
      <c r="CS1513" s="111"/>
      <c r="CT1513" s="112">
        <f t="shared" si="379"/>
        <v>0</v>
      </c>
      <c r="CU1513" s="113"/>
      <c r="CV1513" s="114"/>
      <c r="CW1513" s="115"/>
      <c r="CX1513" s="116"/>
      <c r="CY1513" s="117"/>
      <c r="CZ1513" s="116"/>
      <c r="DA1513" s="113"/>
      <c r="DB1513" s="114"/>
      <c r="DC1513" s="64"/>
      <c r="DD1513" s="118"/>
    </row>
    <row r="1514" spans="1:108" s="119" customFormat="1" ht="48" outlineLevel="2">
      <c r="A1514" s="178">
        <v>40436</v>
      </c>
      <c r="B1514" s="164" t="s">
        <v>1768</v>
      </c>
      <c r="C1514" s="164" t="s">
        <v>1693</v>
      </c>
      <c r="D1514" s="166" t="s">
        <v>435</v>
      </c>
      <c r="E1514" s="163">
        <v>1</v>
      </c>
      <c r="F1514" s="105"/>
      <c r="G1514" s="105"/>
      <c r="H1514" s="105">
        <v>175</v>
      </c>
      <c r="I1514" s="105">
        <v>35</v>
      </c>
      <c r="J1514" s="105"/>
      <c r="K1514" s="105">
        <v>35</v>
      </c>
      <c r="L1514" s="105"/>
      <c r="M1514" s="105"/>
      <c r="N1514" s="105"/>
      <c r="O1514" s="105"/>
      <c r="P1514" s="105"/>
      <c r="Q1514" s="105"/>
      <c r="R1514" s="105"/>
      <c r="S1514" s="105">
        <v>1</v>
      </c>
      <c r="T1514" s="106"/>
      <c r="U1514" s="130"/>
      <c r="V1514" s="1"/>
      <c r="W1514" s="68">
        <f t="shared" si="374"/>
        <v>0</v>
      </c>
      <c r="X1514" s="68">
        <f t="shared" si="375"/>
        <v>0</v>
      </c>
      <c r="Y1514" s="68">
        <f t="shared" si="376"/>
        <v>0</v>
      </c>
      <c r="Z1514" s="68">
        <f t="shared" si="377"/>
        <v>0</v>
      </c>
      <c r="AA1514" s="68"/>
      <c r="AB1514" s="68">
        <v>0</v>
      </c>
      <c r="AC1514" s="69">
        <f t="shared" si="378"/>
        <v>0</v>
      </c>
      <c r="AD1514" s="70">
        <v>0</v>
      </c>
      <c r="AE1514" s="63">
        <v>40441</v>
      </c>
      <c r="AF1514" s="72"/>
      <c r="AG1514" s="63" t="s">
        <v>938</v>
      </c>
      <c r="AH1514" s="23" t="s">
        <v>939</v>
      </c>
      <c r="AI1514" s="60"/>
      <c r="AJ1514" s="124" t="s">
        <v>1608</v>
      </c>
      <c r="AK1514" s="121" t="s">
        <v>1296</v>
      </c>
      <c r="AL1514" s="107"/>
      <c r="AM1514" s="108"/>
      <c r="AN1514" s="109"/>
      <c r="AO1514" s="108"/>
      <c r="AP1514" s="108"/>
      <c r="AQ1514" s="108"/>
      <c r="AR1514" s="108"/>
      <c r="AS1514" s="108"/>
      <c r="AT1514" s="108"/>
      <c r="AU1514" s="108"/>
      <c r="AV1514" s="108"/>
      <c r="AW1514" s="108"/>
      <c r="AX1514" s="108"/>
      <c r="AY1514" s="108"/>
      <c r="AZ1514" s="108"/>
      <c r="BA1514" s="108"/>
      <c r="BB1514" s="108"/>
      <c r="BC1514" s="108"/>
      <c r="BD1514" s="108"/>
      <c r="BE1514" s="108"/>
      <c r="BF1514" s="108"/>
      <c r="BG1514" s="108"/>
      <c r="BH1514" s="108"/>
      <c r="BI1514" s="108"/>
      <c r="BJ1514" s="108"/>
      <c r="BK1514" s="108"/>
      <c r="BL1514" s="108"/>
      <c r="BM1514" s="108"/>
      <c r="BN1514" s="108"/>
      <c r="BO1514" s="108"/>
      <c r="BP1514" s="108"/>
      <c r="BQ1514" s="108"/>
      <c r="BR1514" s="108"/>
      <c r="BS1514" s="108"/>
      <c r="BT1514" s="108"/>
      <c r="BU1514" s="108"/>
      <c r="BV1514" s="108"/>
      <c r="BW1514" s="108"/>
      <c r="BX1514" s="108"/>
      <c r="BY1514" s="108"/>
      <c r="BZ1514" s="108"/>
      <c r="CA1514" s="108"/>
      <c r="CB1514" s="108"/>
      <c r="CC1514" s="108"/>
      <c r="CD1514" s="108"/>
      <c r="CE1514" s="108"/>
      <c r="CF1514" s="108"/>
      <c r="CG1514" s="108"/>
      <c r="CH1514" s="108"/>
      <c r="CI1514" s="108"/>
      <c r="CJ1514" s="108"/>
      <c r="CK1514" s="108"/>
      <c r="CL1514" s="108"/>
      <c r="CM1514" s="108"/>
      <c r="CN1514" s="110"/>
      <c r="CO1514" s="111"/>
      <c r="CP1514" s="110"/>
      <c r="CQ1514" s="111"/>
      <c r="CR1514" s="110"/>
      <c r="CS1514" s="111"/>
      <c r="CT1514" s="112">
        <f t="shared" si="379"/>
        <v>0</v>
      </c>
      <c r="CU1514" s="113"/>
      <c r="CV1514" s="114"/>
      <c r="CW1514" s="115"/>
      <c r="CX1514" s="116"/>
      <c r="CY1514" s="117"/>
      <c r="CZ1514" s="116"/>
      <c r="DA1514" s="113"/>
      <c r="DB1514" s="114"/>
      <c r="DC1514" s="64"/>
      <c r="DD1514" s="118"/>
    </row>
    <row r="1515" spans="1:108" s="119" customFormat="1" ht="60" outlineLevel="2">
      <c r="A1515" s="178">
        <v>40438</v>
      </c>
      <c r="B1515" s="164" t="s">
        <v>1768</v>
      </c>
      <c r="C1515" s="164" t="s">
        <v>535</v>
      </c>
      <c r="D1515" s="166" t="s">
        <v>1262</v>
      </c>
      <c r="E1515" s="163"/>
      <c r="F1515" s="105"/>
      <c r="G1515" s="105"/>
      <c r="H1515" s="105">
        <f>39*5</f>
        <v>195</v>
      </c>
      <c r="I1515" s="105">
        <v>39</v>
      </c>
      <c r="J1515" s="105"/>
      <c r="K1515" s="105">
        <v>39</v>
      </c>
      <c r="L1515" s="105"/>
      <c r="M1515" s="105"/>
      <c r="N1515" s="105"/>
      <c r="O1515" s="105"/>
      <c r="P1515" s="105"/>
      <c r="Q1515" s="105"/>
      <c r="R1515" s="105"/>
      <c r="S1515" s="105"/>
      <c r="T1515" s="106"/>
      <c r="U1515" s="130"/>
      <c r="V1515" s="1"/>
      <c r="W1515" s="68">
        <f t="shared" si="374"/>
        <v>0</v>
      </c>
      <c r="X1515" s="68">
        <f t="shared" si="375"/>
        <v>0</v>
      </c>
      <c r="Y1515" s="68">
        <f t="shared" si="376"/>
        <v>0</v>
      </c>
      <c r="Z1515" s="68">
        <f t="shared" si="377"/>
        <v>0</v>
      </c>
      <c r="AA1515" s="68"/>
      <c r="AB1515" s="68">
        <v>0</v>
      </c>
      <c r="AC1515" s="69">
        <f t="shared" si="378"/>
        <v>0</v>
      </c>
      <c r="AD1515" s="70">
        <v>0</v>
      </c>
      <c r="AE1515" s="63">
        <v>40441</v>
      </c>
      <c r="AF1515" s="72"/>
      <c r="AG1515" s="63" t="s">
        <v>938</v>
      </c>
      <c r="AH1515" s="23" t="s">
        <v>939</v>
      </c>
      <c r="AI1515" s="60"/>
      <c r="AJ1515" s="124" t="s">
        <v>1608</v>
      </c>
      <c r="AK1515" s="121" t="s">
        <v>2328</v>
      </c>
      <c r="AL1515" s="107"/>
      <c r="AM1515" s="108"/>
      <c r="AN1515" s="109"/>
      <c r="AO1515" s="108"/>
      <c r="AP1515" s="108"/>
      <c r="AQ1515" s="108"/>
      <c r="AR1515" s="108"/>
      <c r="AS1515" s="108"/>
      <c r="AT1515" s="108"/>
      <c r="AU1515" s="108"/>
      <c r="AV1515" s="108"/>
      <c r="AW1515" s="108"/>
      <c r="AX1515" s="108"/>
      <c r="AY1515" s="108"/>
      <c r="AZ1515" s="108"/>
      <c r="BA1515" s="108"/>
      <c r="BB1515" s="108"/>
      <c r="BC1515" s="108"/>
      <c r="BD1515" s="108"/>
      <c r="BE1515" s="108"/>
      <c r="BF1515" s="108"/>
      <c r="BG1515" s="108"/>
      <c r="BH1515" s="108"/>
      <c r="BI1515" s="108"/>
      <c r="BJ1515" s="108"/>
      <c r="BK1515" s="108"/>
      <c r="BL1515" s="108"/>
      <c r="BM1515" s="108"/>
      <c r="BN1515" s="108"/>
      <c r="BO1515" s="108"/>
      <c r="BP1515" s="108"/>
      <c r="BQ1515" s="108"/>
      <c r="BR1515" s="108"/>
      <c r="BS1515" s="108"/>
      <c r="BT1515" s="108"/>
      <c r="BU1515" s="108"/>
      <c r="BV1515" s="108"/>
      <c r="BW1515" s="108"/>
      <c r="BX1515" s="108"/>
      <c r="BY1515" s="108"/>
      <c r="BZ1515" s="108"/>
      <c r="CA1515" s="108"/>
      <c r="CB1515" s="108"/>
      <c r="CC1515" s="108"/>
      <c r="CD1515" s="108"/>
      <c r="CE1515" s="108"/>
      <c r="CF1515" s="108"/>
      <c r="CG1515" s="108"/>
      <c r="CH1515" s="108"/>
      <c r="CI1515" s="108"/>
      <c r="CJ1515" s="108"/>
      <c r="CK1515" s="108"/>
      <c r="CL1515" s="108"/>
      <c r="CM1515" s="108"/>
      <c r="CN1515" s="110"/>
      <c r="CO1515" s="111"/>
      <c r="CP1515" s="110"/>
      <c r="CQ1515" s="111"/>
      <c r="CR1515" s="110"/>
      <c r="CS1515" s="111"/>
      <c r="CT1515" s="112">
        <f t="shared" si="379"/>
        <v>0</v>
      </c>
      <c r="CU1515" s="113"/>
      <c r="CV1515" s="114"/>
      <c r="CW1515" s="115"/>
      <c r="CX1515" s="116"/>
      <c r="CY1515" s="117"/>
      <c r="CZ1515" s="116"/>
      <c r="DA1515" s="113"/>
      <c r="DB1515" s="114"/>
      <c r="DC1515" s="64"/>
      <c r="DD1515" s="118">
        <v>1352</v>
      </c>
    </row>
    <row r="1516" spans="1:108" s="119" customFormat="1" ht="108" outlineLevel="2">
      <c r="A1516" s="178">
        <v>40441</v>
      </c>
      <c r="B1516" s="164" t="s">
        <v>1768</v>
      </c>
      <c r="C1516" s="164" t="s">
        <v>1107</v>
      </c>
      <c r="D1516" s="165" t="s">
        <v>1182</v>
      </c>
      <c r="E1516" s="163"/>
      <c r="F1516" s="105"/>
      <c r="G1516" s="105"/>
      <c r="H1516" s="105">
        <f>44*5</f>
        <v>220</v>
      </c>
      <c r="I1516" s="105">
        <v>44</v>
      </c>
      <c r="J1516" s="105"/>
      <c r="K1516" s="105">
        <v>44</v>
      </c>
      <c r="L1516" s="105"/>
      <c r="M1516" s="105"/>
      <c r="N1516" s="105"/>
      <c r="O1516" s="105"/>
      <c r="P1516" s="105"/>
      <c r="Q1516" s="105"/>
      <c r="R1516" s="105"/>
      <c r="S1516" s="105"/>
      <c r="T1516" s="106"/>
      <c r="U1516" s="130" t="s">
        <v>200</v>
      </c>
      <c r="V1516" s="1">
        <v>40520</v>
      </c>
      <c r="W1516" s="68">
        <f t="shared" si="374"/>
        <v>0</v>
      </c>
      <c r="X1516" s="68">
        <f t="shared" si="375"/>
        <v>3740000</v>
      </c>
      <c r="Y1516" s="68">
        <f t="shared" si="376"/>
        <v>0</v>
      </c>
      <c r="Z1516" s="68">
        <f t="shared" si="377"/>
        <v>0</v>
      </c>
      <c r="AA1516" s="68"/>
      <c r="AB1516" s="68">
        <v>0</v>
      </c>
      <c r="AC1516" s="69">
        <f t="shared" si="378"/>
        <v>3740000</v>
      </c>
      <c r="AD1516" s="70">
        <f>7832000-3740000</f>
        <v>4092000</v>
      </c>
      <c r="AE1516" s="63">
        <v>40455</v>
      </c>
      <c r="AF1516" s="72"/>
      <c r="AG1516" s="63" t="s">
        <v>954</v>
      </c>
      <c r="AH1516" s="23" t="s">
        <v>955</v>
      </c>
      <c r="AI1516" s="60">
        <v>26384</v>
      </c>
      <c r="AJ1516" s="124" t="s">
        <v>2238</v>
      </c>
      <c r="AK1516" s="121" t="s">
        <v>2327</v>
      </c>
      <c r="AL1516" s="107"/>
      <c r="AM1516" s="108"/>
      <c r="AN1516" s="109"/>
      <c r="AO1516" s="108"/>
      <c r="AP1516" s="108"/>
      <c r="AQ1516" s="108"/>
      <c r="AR1516" s="108"/>
      <c r="AS1516" s="108"/>
      <c r="AT1516" s="108"/>
      <c r="AU1516" s="108"/>
      <c r="AV1516" s="108"/>
      <c r="AW1516" s="108"/>
      <c r="AX1516" s="108"/>
      <c r="AY1516" s="108"/>
      <c r="AZ1516" s="108"/>
      <c r="BA1516" s="108"/>
      <c r="BB1516" s="108"/>
      <c r="BC1516" s="108"/>
      <c r="BD1516" s="108"/>
      <c r="BE1516" s="108"/>
      <c r="BF1516" s="108"/>
      <c r="BG1516" s="108"/>
      <c r="BH1516" s="108"/>
      <c r="BI1516" s="108"/>
      <c r="BJ1516" s="108"/>
      <c r="BK1516" s="108"/>
      <c r="BL1516" s="108"/>
      <c r="BM1516" s="108"/>
      <c r="BN1516" s="108"/>
      <c r="BO1516" s="108"/>
      <c r="BP1516" s="108"/>
      <c r="BQ1516" s="108"/>
      <c r="BR1516" s="108"/>
      <c r="BS1516" s="108"/>
      <c r="BT1516" s="108"/>
      <c r="BU1516" s="108"/>
      <c r="BV1516" s="108"/>
      <c r="BW1516" s="108"/>
      <c r="BX1516" s="108"/>
      <c r="BY1516" s="108"/>
      <c r="BZ1516" s="108"/>
      <c r="CA1516" s="108"/>
      <c r="CB1516" s="108"/>
      <c r="CC1516" s="108"/>
      <c r="CD1516" s="108"/>
      <c r="CE1516" s="108"/>
      <c r="CF1516" s="108"/>
      <c r="CG1516" s="108"/>
      <c r="CH1516" s="108"/>
      <c r="CI1516" s="108"/>
      <c r="CJ1516" s="108"/>
      <c r="CK1516" s="108"/>
      <c r="CL1516" s="108"/>
      <c r="CM1516" s="108"/>
      <c r="CN1516" s="110"/>
      <c r="CO1516" s="111"/>
      <c r="CP1516" s="110"/>
      <c r="CQ1516" s="111"/>
      <c r="CR1516" s="110"/>
      <c r="CS1516" s="111"/>
      <c r="CT1516" s="112">
        <f t="shared" si="379"/>
        <v>0</v>
      </c>
      <c r="CU1516" s="113"/>
      <c r="CV1516" s="114"/>
      <c r="CW1516" s="115">
        <v>44</v>
      </c>
      <c r="CX1516" s="116">
        <f>44*85000</f>
        <v>3740000</v>
      </c>
      <c r="CY1516" s="117"/>
      <c r="CZ1516" s="116"/>
      <c r="DA1516" s="113"/>
      <c r="DB1516" s="114"/>
      <c r="DC1516" s="64"/>
      <c r="DD1516" s="118"/>
    </row>
    <row r="1517" spans="1:108" s="119" customFormat="1" ht="48" outlineLevel="2">
      <c r="A1517" s="178">
        <v>40450</v>
      </c>
      <c r="B1517" s="164" t="s">
        <v>1768</v>
      </c>
      <c r="C1517" s="164" t="s">
        <v>754</v>
      </c>
      <c r="D1517" s="166" t="s">
        <v>1262</v>
      </c>
      <c r="E1517" s="163"/>
      <c r="F1517" s="105"/>
      <c r="G1517" s="105"/>
      <c r="H1517" s="105">
        <v>350</v>
      </c>
      <c r="I1517" s="105">
        <v>110</v>
      </c>
      <c r="J1517" s="105">
        <v>4</v>
      </c>
      <c r="K1517" s="105">
        <v>106</v>
      </c>
      <c r="L1517" s="105"/>
      <c r="M1517" s="105"/>
      <c r="N1517" s="105"/>
      <c r="O1517" s="105"/>
      <c r="P1517" s="105"/>
      <c r="Q1517" s="105"/>
      <c r="R1517" s="105"/>
      <c r="S1517" s="105"/>
      <c r="T1517" s="106"/>
      <c r="U1517" s="130"/>
      <c r="V1517" s="1">
        <v>40476</v>
      </c>
      <c r="W1517" s="68">
        <f t="shared" si="374"/>
        <v>23099370</v>
      </c>
      <c r="X1517" s="68">
        <f t="shared" si="375"/>
        <v>8499846</v>
      </c>
      <c r="Y1517" s="68">
        <f t="shared" si="376"/>
        <v>0</v>
      </c>
      <c r="Z1517" s="68">
        <f t="shared" si="377"/>
        <v>0</v>
      </c>
      <c r="AA1517" s="68"/>
      <c r="AB1517" s="68">
        <v>0</v>
      </c>
      <c r="AC1517" s="69">
        <f t="shared" si="378"/>
        <v>31599216</v>
      </c>
      <c r="AD1517" s="70">
        <v>0</v>
      </c>
      <c r="AE1517" s="63">
        <v>40451</v>
      </c>
      <c r="AF1517" s="72">
        <v>53132</v>
      </c>
      <c r="AG1517" s="63" t="s">
        <v>954</v>
      </c>
      <c r="AH1517" s="23" t="s">
        <v>955</v>
      </c>
      <c r="AI1517" s="60">
        <v>22606</v>
      </c>
      <c r="AJ1517" s="133" t="s">
        <v>415</v>
      </c>
      <c r="AK1517" s="121" t="s">
        <v>755</v>
      </c>
      <c r="AL1517" s="107"/>
      <c r="AM1517" s="108"/>
      <c r="AN1517" s="109"/>
      <c r="AO1517" s="108"/>
      <c r="AP1517" s="108"/>
      <c r="AQ1517" s="108"/>
      <c r="AR1517" s="108"/>
      <c r="AS1517" s="108"/>
      <c r="AT1517" s="108">
        <v>300</v>
      </c>
      <c r="AU1517" s="108">
        <f>300*20998.32</f>
        <v>6299496</v>
      </c>
      <c r="AV1517" s="108"/>
      <c r="AW1517" s="108"/>
      <c r="AX1517" s="108">
        <v>300</v>
      </c>
      <c r="AY1517" s="108">
        <f>300*55999.58</f>
        <v>16799874</v>
      </c>
      <c r="AZ1517" s="108"/>
      <c r="BA1517" s="108"/>
      <c r="BB1517" s="108"/>
      <c r="BC1517" s="108"/>
      <c r="BD1517" s="108"/>
      <c r="BE1517" s="108"/>
      <c r="BF1517" s="108"/>
      <c r="BG1517" s="108"/>
      <c r="BH1517" s="108"/>
      <c r="BI1517" s="108"/>
      <c r="BJ1517" s="108"/>
      <c r="BK1517" s="108"/>
      <c r="BL1517" s="108"/>
      <c r="BM1517" s="108"/>
      <c r="BN1517" s="108"/>
      <c r="BO1517" s="108"/>
      <c r="BP1517" s="108"/>
      <c r="BQ1517" s="108"/>
      <c r="BR1517" s="108"/>
      <c r="BS1517" s="108"/>
      <c r="BT1517" s="108"/>
      <c r="BU1517" s="108"/>
      <c r="BV1517" s="108"/>
      <c r="BW1517" s="108"/>
      <c r="BX1517" s="108"/>
      <c r="BY1517" s="108"/>
      <c r="BZ1517" s="108"/>
      <c r="CA1517" s="108"/>
      <c r="CB1517" s="108"/>
      <c r="CC1517" s="108"/>
      <c r="CD1517" s="108"/>
      <c r="CE1517" s="108"/>
      <c r="CF1517" s="108"/>
      <c r="CG1517" s="108"/>
      <c r="CH1517" s="108"/>
      <c r="CI1517" s="108"/>
      <c r="CJ1517" s="108"/>
      <c r="CK1517" s="108"/>
      <c r="CL1517" s="108"/>
      <c r="CM1517" s="108"/>
      <c r="CN1517" s="110"/>
      <c r="CO1517" s="111"/>
      <c r="CP1517" s="110"/>
      <c r="CQ1517" s="111"/>
      <c r="CR1517" s="110"/>
      <c r="CS1517" s="111"/>
      <c r="CT1517" s="112">
        <f t="shared" si="379"/>
        <v>23099370</v>
      </c>
      <c r="CU1517" s="113"/>
      <c r="CV1517" s="114"/>
      <c r="CW1517" s="115">
        <v>100</v>
      </c>
      <c r="CX1517" s="116">
        <f>100*84998.46</f>
        <v>8499846</v>
      </c>
      <c r="CY1517" s="117"/>
      <c r="CZ1517" s="116"/>
      <c r="DA1517" s="113"/>
      <c r="DB1517" s="114"/>
      <c r="DC1517" s="64"/>
      <c r="DD1517" s="118"/>
    </row>
    <row r="1518" spans="1:108" s="119" customFormat="1" ht="22.5" outlineLevel="2">
      <c r="A1518" s="178">
        <v>40452</v>
      </c>
      <c r="B1518" s="164" t="s">
        <v>1768</v>
      </c>
      <c r="C1518" s="164" t="s">
        <v>858</v>
      </c>
      <c r="D1518" s="166" t="s">
        <v>1262</v>
      </c>
      <c r="E1518" s="163"/>
      <c r="F1518" s="105"/>
      <c r="G1518" s="105"/>
      <c r="H1518" s="105">
        <f>127*5</f>
        <v>635</v>
      </c>
      <c r="I1518" s="105">
        <v>127</v>
      </c>
      <c r="J1518" s="105"/>
      <c r="K1518" s="105">
        <v>127</v>
      </c>
      <c r="L1518" s="105"/>
      <c r="M1518" s="105"/>
      <c r="N1518" s="105"/>
      <c r="O1518" s="105"/>
      <c r="P1518" s="105"/>
      <c r="Q1518" s="105"/>
      <c r="R1518" s="105"/>
      <c r="S1518" s="105"/>
      <c r="T1518" s="106"/>
      <c r="U1518" s="130"/>
      <c r="V1518" s="1">
        <v>40520</v>
      </c>
      <c r="W1518" s="68">
        <f t="shared" si="374"/>
        <v>0</v>
      </c>
      <c r="X1518" s="68">
        <f t="shared" si="375"/>
        <v>10795000</v>
      </c>
      <c r="Y1518" s="68">
        <f t="shared" si="376"/>
        <v>0</v>
      </c>
      <c r="Z1518" s="68">
        <f t="shared" si="377"/>
        <v>0</v>
      </c>
      <c r="AA1518" s="68"/>
      <c r="AB1518" s="68">
        <v>0</v>
      </c>
      <c r="AC1518" s="69">
        <f t="shared" si="378"/>
        <v>10795000</v>
      </c>
      <c r="AD1518" s="70">
        <f>22606000-10795000</f>
        <v>11811000</v>
      </c>
      <c r="AE1518" s="63">
        <v>40483</v>
      </c>
      <c r="AF1518" s="72"/>
      <c r="AG1518" s="63" t="s">
        <v>954</v>
      </c>
      <c r="AH1518" s="23" t="s">
        <v>955</v>
      </c>
      <c r="AI1518" s="60">
        <v>26384</v>
      </c>
      <c r="AJ1518" s="124" t="s">
        <v>1476</v>
      </c>
      <c r="AK1518" s="121" t="s">
        <v>1960</v>
      </c>
      <c r="AL1518" s="107"/>
      <c r="AM1518" s="108"/>
      <c r="AN1518" s="109"/>
      <c r="AO1518" s="108"/>
      <c r="AP1518" s="108"/>
      <c r="AQ1518" s="108"/>
      <c r="AR1518" s="108"/>
      <c r="AS1518" s="108"/>
      <c r="AT1518" s="108"/>
      <c r="AU1518" s="108"/>
      <c r="AV1518" s="108"/>
      <c r="AW1518" s="108"/>
      <c r="AX1518" s="108"/>
      <c r="AY1518" s="108"/>
      <c r="AZ1518" s="108"/>
      <c r="BA1518" s="108"/>
      <c r="BB1518" s="108"/>
      <c r="BC1518" s="108"/>
      <c r="BD1518" s="108"/>
      <c r="BE1518" s="108"/>
      <c r="BF1518" s="108"/>
      <c r="BG1518" s="108"/>
      <c r="BH1518" s="108"/>
      <c r="BI1518" s="108"/>
      <c r="BJ1518" s="108"/>
      <c r="BK1518" s="108"/>
      <c r="BL1518" s="108"/>
      <c r="BM1518" s="108"/>
      <c r="BN1518" s="108"/>
      <c r="BO1518" s="108"/>
      <c r="BP1518" s="108"/>
      <c r="BQ1518" s="108"/>
      <c r="BR1518" s="108"/>
      <c r="BS1518" s="108"/>
      <c r="BT1518" s="108"/>
      <c r="BU1518" s="108"/>
      <c r="BV1518" s="108"/>
      <c r="BW1518" s="108"/>
      <c r="BX1518" s="108"/>
      <c r="BY1518" s="108"/>
      <c r="BZ1518" s="108"/>
      <c r="CA1518" s="108"/>
      <c r="CB1518" s="108"/>
      <c r="CC1518" s="108"/>
      <c r="CD1518" s="108"/>
      <c r="CE1518" s="108"/>
      <c r="CF1518" s="108"/>
      <c r="CG1518" s="108"/>
      <c r="CH1518" s="108"/>
      <c r="CI1518" s="108"/>
      <c r="CJ1518" s="108"/>
      <c r="CK1518" s="108"/>
      <c r="CL1518" s="108"/>
      <c r="CM1518" s="108"/>
      <c r="CN1518" s="110"/>
      <c r="CO1518" s="111"/>
      <c r="CP1518" s="110"/>
      <c r="CQ1518" s="111"/>
      <c r="CR1518" s="110"/>
      <c r="CS1518" s="111"/>
      <c r="CT1518" s="112">
        <f t="shared" si="379"/>
        <v>0</v>
      </c>
      <c r="CU1518" s="113"/>
      <c r="CV1518" s="114"/>
      <c r="CW1518" s="115">
        <v>127</v>
      </c>
      <c r="CX1518" s="116">
        <f>127*85000</f>
        <v>10795000</v>
      </c>
      <c r="CY1518" s="117"/>
      <c r="CZ1518" s="116"/>
      <c r="DA1518" s="113"/>
      <c r="DB1518" s="114"/>
      <c r="DC1518" s="64"/>
      <c r="DD1518" s="118"/>
    </row>
    <row r="1519" spans="1:108" s="119" customFormat="1" ht="132" outlineLevel="2">
      <c r="A1519" s="178">
        <v>40455</v>
      </c>
      <c r="B1519" s="164" t="s">
        <v>1768</v>
      </c>
      <c r="C1519" s="164" t="s">
        <v>1989</v>
      </c>
      <c r="D1519" s="166" t="s">
        <v>1262</v>
      </c>
      <c r="E1519" s="163"/>
      <c r="F1519" s="105"/>
      <c r="G1519" s="105"/>
      <c r="H1519" s="105"/>
      <c r="I1519" s="105"/>
      <c r="J1519" s="105"/>
      <c r="K1519" s="105"/>
      <c r="L1519" s="105">
        <v>3</v>
      </c>
      <c r="M1519" s="105"/>
      <c r="N1519" s="105"/>
      <c r="O1519" s="105"/>
      <c r="P1519" s="105"/>
      <c r="Q1519" s="105"/>
      <c r="R1519" s="105"/>
      <c r="S1519" s="105"/>
      <c r="T1519" s="106"/>
      <c r="U1519" s="130"/>
      <c r="V1519" s="1">
        <v>40480</v>
      </c>
      <c r="W1519" s="68">
        <f t="shared" si="374"/>
        <v>0</v>
      </c>
      <c r="X1519" s="68">
        <f t="shared" si="375"/>
        <v>0</v>
      </c>
      <c r="Y1519" s="68">
        <f t="shared" si="376"/>
        <v>0</v>
      </c>
      <c r="Z1519" s="68">
        <f t="shared" si="377"/>
        <v>0</v>
      </c>
      <c r="AA1519" s="68"/>
      <c r="AB1519" s="68">
        <v>73510100</v>
      </c>
      <c r="AC1519" s="69">
        <f t="shared" si="378"/>
        <v>73510100</v>
      </c>
      <c r="AD1519" s="70">
        <v>0</v>
      </c>
      <c r="AE1519" s="63">
        <v>40465</v>
      </c>
      <c r="AF1519" s="72">
        <v>56281</v>
      </c>
      <c r="AG1519" s="63" t="s">
        <v>954</v>
      </c>
      <c r="AH1519" s="23" t="s">
        <v>955</v>
      </c>
      <c r="AI1519" s="60">
        <v>40465</v>
      </c>
      <c r="AJ1519" s="83" t="s">
        <v>1122</v>
      </c>
      <c r="AK1519" s="121" t="s">
        <v>992</v>
      </c>
      <c r="AL1519" s="107"/>
      <c r="AM1519" s="108"/>
      <c r="AN1519" s="109"/>
      <c r="AO1519" s="108"/>
      <c r="AP1519" s="108"/>
      <c r="AQ1519" s="108"/>
      <c r="AR1519" s="108"/>
      <c r="AS1519" s="108"/>
      <c r="AT1519" s="108"/>
      <c r="AU1519" s="108"/>
      <c r="AV1519" s="108"/>
      <c r="AW1519" s="108"/>
      <c r="AX1519" s="108"/>
      <c r="AY1519" s="108"/>
      <c r="AZ1519" s="108"/>
      <c r="BA1519" s="108"/>
      <c r="BB1519" s="108"/>
      <c r="BC1519" s="108"/>
      <c r="BD1519" s="108"/>
      <c r="BE1519" s="108"/>
      <c r="BF1519" s="108"/>
      <c r="BG1519" s="108"/>
      <c r="BH1519" s="108"/>
      <c r="BI1519" s="108"/>
      <c r="BJ1519" s="108"/>
      <c r="BK1519" s="108"/>
      <c r="BL1519" s="108"/>
      <c r="BM1519" s="108"/>
      <c r="BN1519" s="108"/>
      <c r="BO1519" s="108"/>
      <c r="BP1519" s="108"/>
      <c r="BQ1519" s="108"/>
      <c r="BR1519" s="108"/>
      <c r="BS1519" s="108"/>
      <c r="BT1519" s="108"/>
      <c r="BU1519" s="108"/>
      <c r="BV1519" s="108"/>
      <c r="BW1519" s="108"/>
      <c r="BX1519" s="108"/>
      <c r="BY1519" s="108"/>
      <c r="BZ1519" s="108"/>
      <c r="CA1519" s="108"/>
      <c r="CB1519" s="108"/>
      <c r="CC1519" s="108"/>
      <c r="CD1519" s="108"/>
      <c r="CE1519" s="108"/>
      <c r="CF1519" s="108"/>
      <c r="CG1519" s="108"/>
      <c r="CH1519" s="108"/>
      <c r="CI1519" s="108"/>
      <c r="CJ1519" s="108"/>
      <c r="CK1519" s="108"/>
      <c r="CL1519" s="108"/>
      <c r="CM1519" s="108"/>
      <c r="CN1519" s="110"/>
      <c r="CO1519" s="111"/>
      <c r="CP1519" s="110"/>
      <c r="CQ1519" s="111"/>
      <c r="CR1519" s="110"/>
      <c r="CS1519" s="111"/>
      <c r="CT1519" s="112">
        <f t="shared" si="379"/>
        <v>0</v>
      </c>
      <c r="CU1519" s="113"/>
      <c r="CV1519" s="114"/>
      <c r="CW1519" s="115"/>
      <c r="CX1519" s="116"/>
      <c r="CY1519" s="117"/>
      <c r="CZ1519" s="116"/>
      <c r="DA1519" s="113"/>
      <c r="DB1519" s="114"/>
      <c r="DC1519" s="64">
        <v>2</v>
      </c>
      <c r="DD1519" s="118"/>
    </row>
    <row r="1520" spans="1:108" s="119" customFormat="1" ht="24" outlineLevel="2">
      <c r="A1520" s="178">
        <v>40470</v>
      </c>
      <c r="B1520" s="164" t="s">
        <v>1768</v>
      </c>
      <c r="C1520" s="164" t="s">
        <v>1865</v>
      </c>
      <c r="D1520" s="165" t="s">
        <v>1182</v>
      </c>
      <c r="E1520" s="163"/>
      <c r="F1520" s="105"/>
      <c r="G1520" s="105"/>
      <c r="H1520" s="105"/>
      <c r="I1520" s="105"/>
      <c r="J1520" s="105"/>
      <c r="K1520" s="105"/>
      <c r="L1520" s="105">
        <v>1</v>
      </c>
      <c r="M1520" s="105"/>
      <c r="N1520" s="105"/>
      <c r="O1520" s="105"/>
      <c r="P1520" s="105"/>
      <c r="Q1520" s="105"/>
      <c r="R1520" s="105"/>
      <c r="S1520" s="105"/>
      <c r="T1520" s="106"/>
      <c r="U1520" s="130"/>
      <c r="V1520" s="1"/>
      <c r="W1520" s="68">
        <f t="shared" si="374"/>
        <v>0</v>
      </c>
      <c r="X1520" s="68">
        <f t="shared" si="375"/>
        <v>0</v>
      </c>
      <c r="Y1520" s="68">
        <f t="shared" si="376"/>
        <v>0</v>
      </c>
      <c r="Z1520" s="68">
        <f t="shared" si="377"/>
        <v>0</v>
      </c>
      <c r="AA1520" s="68"/>
      <c r="AB1520" s="68">
        <v>0</v>
      </c>
      <c r="AC1520" s="69">
        <f t="shared" si="378"/>
        <v>0</v>
      </c>
      <c r="AD1520" s="70">
        <v>0</v>
      </c>
      <c r="AE1520" s="63">
        <v>40471</v>
      </c>
      <c r="AF1520" s="72"/>
      <c r="AG1520" s="63" t="s">
        <v>938</v>
      </c>
      <c r="AH1520" s="23" t="s">
        <v>939</v>
      </c>
      <c r="AI1520" s="60"/>
      <c r="AJ1520" s="124" t="s">
        <v>1608</v>
      </c>
      <c r="AK1520" s="121" t="s">
        <v>2320</v>
      </c>
      <c r="AL1520" s="107"/>
      <c r="AM1520" s="108"/>
      <c r="AN1520" s="109"/>
      <c r="AO1520" s="108"/>
      <c r="AP1520" s="108"/>
      <c r="AQ1520" s="108"/>
      <c r="AR1520" s="108"/>
      <c r="AS1520" s="108"/>
      <c r="AT1520" s="108"/>
      <c r="AU1520" s="108"/>
      <c r="AV1520" s="108"/>
      <c r="AW1520" s="108"/>
      <c r="AX1520" s="108"/>
      <c r="AY1520" s="108"/>
      <c r="AZ1520" s="108"/>
      <c r="BA1520" s="108"/>
      <c r="BB1520" s="108"/>
      <c r="BC1520" s="108"/>
      <c r="BD1520" s="108"/>
      <c r="BE1520" s="108"/>
      <c r="BF1520" s="108"/>
      <c r="BG1520" s="108"/>
      <c r="BH1520" s="108"/>
      <c r="BI1520" s="108"/>
      <c r="BJ1520" s="108"/>
      <c r="BK1520" s="108"/>
      <c r="BL1520" s="108"/>
      <c r="BM1520" s="108"/>
      <c r="BN1520" s="108"/>
      <c r="BO1520" s="108"/>
      <c r="BP1520" s="108"/>
      <c r="BQ1520" s="108"/>
      <c r="BR1520" s="108"/>
      <c r="BS1520" s="108"/>
      <c r="BT1520" s="108"/>
      <c r="BU1520" s="108"/>
      <c r="BV1520" s="108"/>
      <c r="BW1520" s="108"/>
      <c r="BX1520" s="108"/>
      <c r="BY1520" s="108"/>
      <c r="BZ1520" s="108"/>
      <c r="CA1520" s="108"/>
      <c r="CB1520" s="108"/>
      <c r="CC1520" s="108"/>
      <c r="CD1520" s="108"/>
      <c r="CE1520" s="108"/>
      <c r="CF1520" s="108"/>
      <c r="CG1520" s="108"/>
      <c r="CH1520" s="108"/>
      <c r="CI1520" s="108"/>
      <c r="CJ1520" s="108"/>
      <c r="CK1520" s="108"/>
      <c r="CL1520" s="108"/>
      <c r="CM1520" s="108"/>
      <c r="CN1520" s="110"/>
      <c r="CO1520" s="111"/>
      <c r="CP1520" s="110"/>
      <c r="CQ1520" s="111"/>
      <c r="CR1520" s="110"/>
      <c r="CS1520" s="111"/>
      <c r="CT1520" s="112">
        <f t="shared" si="379"/>
        <v>0</v>
      </c>
      <c r="CU1520" s="113"/>
      <c r="CV1520" s="114"/>
      <c r="CW1520" s="115"/>
      <c r="CX1520" s="116"/>
      <c r="CY1520" s="117"/>
      <c r="CZ1520" s="116"/>
      <c r="DA1520" s="113"/>
      <c r="DB1520" s="114"/>
      <c r="DC1520" s="64"/>
      <c r="DD1520" s="118"/>
    </row>
    <row r="1521" spans="1:108" s="119" customFormat="1" ht="36" outlineLevel="2">
      <c r="A1521" s="178">
        <v>40470</v>
      </c>
      <c r="B1521" s="164" t="s">
        <v>1768</v>
      </c>
      <c r="C1521" s="164" t="s">
        <v>1787</v>
      </c>
      <c r="D1521" s="166" t="s">
        <v>435</v>
      </c>
      <c r="E1521" s="163"/>
      <c r="F1521" s="105"/>
      <c r="G1521" s="105"/>
      <c r="H1521" s="105">
        <v>270</v>
      </c>
      <c r="I1521" s="105">
        <v>60</v>
      </c>
      <c r="J1521" s="105"/>
      <c r="K1521" s="105">
        <v>60</v>
      </c>
      <c r="L1521" s="105">
        <v>13</v>
      </c>
      <c r="M1521" s="105"/>
      <c r="N1521" s="105"/>
      <c r="O1521" s="105"/>
      <c r="P1521" s="105"/>
      <c r="Q1521" s="105"/>
      <c r="R1521" s="105">
        <v>5</v>
      </c>
      <c r="S1521" s="105">
        <v>1</v>
      </c>
      <c r="T1521" s="106"/>
      <c r="U1521" s="130" t="s">
        <v>1789</v>
      </c>
      <c r="V1521" s="1"/>
      <c r="W1521" s="68">
        <f t="shared" si="374"/>
        <v>0</v>
      </c>
      <c r="X1521" s="68">
        <f t="shared" si="375"/>
        <v>0</v>
      </c>
      <c r="Y1521" s="68">
        <f t="shared" si="376"/>
        <v>0</v>
      </c>
      <c r="Z1521" s="68">
        <f t="shared" si="377"/>
        <v>0</v>
      </c>
      <c r="AA1521" s="68"/>
      <c r="AB1521" s="68">
        <v>0</v>
      </c>
      <c r="AC1521" s="69">
        <f t="shared" si="378"/>
        <v>0</v>
      </c>
      <c r="AD1521" s="70">
        <v>0</v>
      </c>
      <c r="AE1521" s="63">
        <v>40476</v>
      </c>
      <c r="AF1521" s="72"/>
      <c r="AG1521" s="63" t="s">
        <v>954</v>
      </c>
      <c r="AH1521" s="23" t="s">
        <v>955</v>
      </c>
      <c r="AI1521" s="60"/>
      <c r="AJ1521" s="124" t="s">
        <v>1476</v>
      </c>
      <c r="AK1521" s="121" t="s">
        <v>1788</v>
      </c>
      <c r="AL1521" s="107"/>
      <c r="AM1521" s="108"/>
      <c r="AN1521" s="109"/>
      <c r="AO1521" s="108"/>
      <c r="AP1521" s="108"/>
      <c r="AQ1521" s="108"/>
      <c r="AR1521" s="108"/>
      <c r="AS1521" s="108"/>
      <c r="AT1521" s="108"/>
      <c r="AU1521" s="108"/>
      <c r="AV1521" s="108"/>
      <c r="AW1521" s="108"/>
      <c r="AX1521" s="108"/>
      <c r="AY1521" s="108"/>
      <c r="AZ1521" s="108"/>
      <c r="BA1521" s="108"/>
      <c r="BB1521" s="108"/>
      <c r="BC1521" s="108"/>
      <c r="BD1521" s="108"/>
      <c r="BE1521" s="108"/>
      <c r="BF1521" s="108"/>
      <c r="BG1521" s="108"/>
      <c r="BH1521" s="108"/>
      <c r="BI1521" s="108"/>
      <c r="BJ1521" s="108"/>
      <c r="BK1521" s="108"/>
      <c r="BL1521" s="108"/>
      <c r="BM1521" s="108"/>
      <c r="BN1521" s="108"/>
      <c r="BO1521" s="108"/>
      <c r="BP1521" s="108"/>
      <c r="BQ1521" s="108"/>
      <c r="BR1521" s="108"/>
      <c r="BS1521" s="108"/>
      <c r="BT1521" s="108"/>
      <c r="BU1521" s="108"/>
      <c r="BV1521" s="108"/>
      <c r="BW1521" s="108"/>
      <c r="BX1521" s="108"/>
      <c r="BY1521" s="108"/>
      <c r="BZ1521" s="108"/>
      <c r="CA1521" s="108"/>
      <c r="CB1521" s="108"/>
      <c r="CC1521" s="108"/>
      <c r="CD1521" s="108"/>
      <c r="CE1521" s="108"/>
      <c r="CF1521" s="108"/>
      <c r="CG1521" s="108"/>
      <c r="CH1521" s="108"/>
      <c r="CI1521" s="108"/>
      <c r="CJ1521" s="108"/>
      <c r="CK1521" s="108"/>
      <c r="CL1521" s="108"/>
      <c r="CM1521" s="108"/>
      <c r="CN1521" s="110"/>
      <c r="CO1521" s="111"/>
      <c r="CP1521" s="110"/>
      <c r="CQ1521" s="111"/>
      <c r="CR1521" s="110"/>
      <c r="CS1521" s="111"/>
      <c r="CT1521" s="112">
        <f t="shared" si="379"/>
        <v>0</v>
      </c>
      <c r="CU1521" s="113"/>
      <c r="CV1521" s="114"/>
      <c r="CW1521" s="115"/>
      <c r="CX1521" s="116"/>
      <c r="CY1521" s="117"/>
      <c r="CZ1521" s="116"/>
      <c r="DA1521" s="113"/>
      <c r="DB1521" s="114"/>
      <c r="DC1521" s="64"/>
      <c r="DD1521" s="118"/>
    </row>
    <row r="1522" spans="1:108" s="119" customFormat="1" ht="36" outlineLevel="2">
      <c r="A1522" s="178">
        <v>40472</v>
      </c>
      <c r="B1522" s="164" t="s">
        <v>1768</v>
      </c>
      <c r="C1522" s="164" t="s">
        <v>1693</v>
      </c>
      <c r="D1522" s="166" t="s">
        <v>1262</v>
      </c>
      <c r="E1522" s="163"/>
      <c r="F1522" s="105"/>
      <c r="G1522" s="105"/>
      <c r="H1522" s="105">
        <v>15</v>
      </c>
      <c r="I1522" s="105">
        <v>3</v>
      </c>
      <c r="J1522" s="105"/>
      <c r="K1522" s="105">
        <v>3</v>
      </c>
      <c r="L1522" s="105"/>
      <c r="M1522" s="105"/>
      <c r="N1522" s="105"/>
      <c r="O1522" s="105"/>
      <c r="P1522" s="105"/>
      <c r="Q1522" s="105"/>
      <c r="R1522" s="105"/>
      <c r="S1522" s="105"/>
      <c r="T1522" s="106"/>
      <c r="U1522" s="130"/>
      <c r="V1522" s="1"/>
      <c r="W1522" s="68">
        <f t="shared" si="374"/>
        <v>0</v>
      </c>
      <c r="X1522" s="68">
        <f t="shared" si="375"/>
        <v>0</v>
      </c>
      <c r="Y1522" s="68">
        <f t="shared" si="376"/>
        <v>0</v>
      </c>
      <c r="Z1522" s="68">
        <f t="shared" si="377"/>
        <v>0</v>
      </c>
      <c r="AA1522" s="68"/>
      <c r="AB1522" s="68">
        <v>0</v>
      </c>
      <c r="AC1522" s="69">
        <f t="shared" si="378"/>
        <v>0</v>
      </c>
      <c r="AD1522" s="70">
        <v>0</v>
      </c>
      <c r="AE1522" s="63">
        <v>40476</v>
      </c>
      <c r="AF1522" s="72"/>
      <c r="AG1522" s="63" t="s">
        <v>938</v>
      </c>
      <c r="AH1522" s="23" t="s">
        <v>939</v>
      </c>
      <c r="AI1522" s="60"/>
      <c r="AJ1522" s="124" t="s">
        <v>1608</v>
      </c>
      <c r="AK1522" s="121" t="s">
        <v>1786</v>
      </c>
      <c r="AL1522" s="107"/>
      <c r="AM1522" s="108"/>
      <c r="AN1522" s="109"/>
      <c r="AO1522" s="108"/>
      <c r="AP1522" s="108"/>
      <c r="AQ1522" s="108"/>
      <c r="AR1522" s="108"/>
      <c r="AS1522" s="108"/>
      <c r="AT1522" s="108"/>
      <c r="AU1522" s="108"/>
      <c r="AV1522" s="108"/>
      <c r="AW1522" s="108"/>
      <c r="AX1522" s="108"/>
      <c r="AY1522" s="108"/>
      <c r="AZ1522" s="108"/>
      <c r="BA1522" s="108"/>
      <c r="BB1522" s="108"/>
      <c r="BC1522" s="108"/>
      <c r="BD1522" s="108"/>
      <c r="BE1522" s="108"/>
      <c r="BF1522" s="108"/>
      <c r="BG1522" s="108"/>
      <c r="BH1522" s="108"/>
      <c r="BI1522" s="108"/>
      <c r="BJ1522" s="108"/>
      <c r="BK1522" s="108"/>
      <c r="BL1522" s="108"/>
      <c r="BM1522" s="108"/>
      <c r="BN1522" s="108"/>
      <c r="BO1522" s="108"/>
      <c r="BP1522" s="108"/>
      <c r="BQ1522" s="108"/>
      <c r="BR1522" s="108"/>
      <c r="BS1522" s="108"/>
      <c r="BT1522" s="108"/>
      <c r="BU1522" s="108"/>
      <c r="BV1522" s="108"/>
      <c r="BW1522" s="108"/>
      <c r="BX1522" s="108"/>
      <c r="BY1522" s="108"/>
      <c r="BZ1522" s="108"/>
      <c r="CA1522" s="108"/>
      <c r="CB1522" s="108"/>
      <c r="CC1522" s="108"/>
      <c r="CD1522" s="108"/>
      <c r="CE1522" s="108"/>
      <c r="CF1522" s="108"/>
      <c r="CG1522" s="108"/>
      <c r="CH1522" s="108"/>
      <c r="CI1522" s="108"/>
      <c r="CJ1522" s="108"/>
      <c r="CK1522" s="108"/>
      <c r="CL1522" s="108"/>
      <c r="CM1522" s="108"/>
      <c r="CN1522" s="110"/>
      <c r="CO1522" s="111"/>
      <c r="CP1522" s="110"/>
      <c r="CQ1522" s="111"/>
      <c r="CR1522" s="110"/>
      <c r="CS1522" s="111"/>
      <c r="CT1522" s="112">
        <f t="shared" si="379"/>
        <v>0</v>
      </c>
      <c r="CU1522" s="113"/>
      <c r="CV1522" s="114"/>
      <c r="CW1522" s="115"/>
      <c r="CX1522" s="116"/>
      <c r="CY1522" s="117"/>
      <c r="CZ1522" s="116"/>
      <c r="DA1522" s="113"/>
      <c r="DB1522" s="114"/>
      <c r="DC1522" s="64"/>
      <c r="DD1522" s="118"/>
    </row>
    <row r="1523" spans="1:108" s="119" customFormat="1" ht="36" outlineLevel="2">
      <c r="A1523" s="178">
        <v>40475</v>
      </c>
      <c r="B1523" s="164" t="s">
        <v>1768</v>
      </c>
      <c r="C1523" s="164" t="s">
        <v>1846</v>
      </c>
      <c r="D1523" s="166" t="s">
        <v>435</v>
      </c>
      <c r="E1523" s="163"/>
      <c r="F1523" s="105"/>
      <c r="G1523" s="105"/>
      <c r="H1523" s="105">
        <f>305*5</f>
        <v>1525</v>
      </c>
      <c r="I1523" s="105">
        <v>305</v>
      </c>
      <c r="J1523" s="105"/>
      <c r="K1523" s="105">
        <v>305</v>
      </c>
      <c r="L1523" s="105"/>
      <c r="M1523" s="105"/>
      <c r="N1523" s="105"/>
      <c r="O1523" s="105"/>
      <c r="P1523" s="105"/>
      <c r="Q1523" s="105"/>
      <c r="R1523" s="105"/>
      <c r="S1523" s="105"/>
      <c r="T1523" s="106"/>
      <c r="U1523" s="130"/>
      <c r="V1523" s="1"/>
      <c r="W1523" s="68">
        <f t="shared" si="374"/>
        <v>0</v>
      </c>
      <c r="X1523" s="68">
        <f t="shared" si="375"/>
        <v>0</v>
      </c>
      <c r="Y1523" s="68">
        <f t="shared" si="376"/>
        <v>0</v>
      </c>
      <c r="Z1523" s="68">
        <f t="shared" si="377"/>
        <v>0</v>
      </c>
      <c r="AA1523" s="68"/>
      <c r="AB1523" s="68">
        <v>0</v>
      </c>
      <c r="AC1523" s="69">
        <f t="shared" si="378"/>
        <v>0</v>
      </c>
      <c r="AD1523" s="70">
        <v>54290000</v>
      </c>
      <c r="AE1523" s="63">
        <v>40476</v>
      </c>
      <c r="AF1523" s="72"/>
      <c r="AG1523" s="63" t="s">
        <v>954</v>
      </c>
      <c r="AH1523" s="23" t="s">
        <v>955</v>
      </c>
      <c r="AI1523" s="60"/>
      <c r="AJ1523" s="124" t="s">
        <v>1608</v>
      </c>
      <c r="AK1523" s="121" t="s">
        <v>1798</v>
      </c>
      <c r="AL1523" s="107" t="s">
        <v>72</v>
      </c>
      <c r="AM1523" s="108"/>
      <c r="AN1523" s="109"/>
      <c r="AO1523" s="108"/>
      <c r="AP1523" s="108"/>
      <c r="AQ1523" s="108"/>
      <c r="AR1523" s="108"/>
      <c r="AS1523" s="108"/>
      <c r="AT1523" s="108"/>
      <c r="AU1523" s="108"/>
      <c r="AV1523" s="108"/>
      <c r="AW1523" s="108"/>
      <c r="AX1523" s="108"/>
      <c r="AY1523" s="108"/>
      <c r="AZ1523" s="108"/>
      <c r="BA1523" s="108"/>
      <c r="BB1523" s="108"/>
      <c r="BC1523" s="108"/>
      <c r="BD1523" s="108"/>
      <c r="BE1523" s="108"/>
      <c r="BF1523" s="108"/>
      <c r="BG1523" s="108"/>
      <c r="BH1523" s="108"/>
      <c r="BI1523" s="108"/>
      <c r="BJ1523" s="108"/>
      <c r="BK1523" s="108"/>
      <c r="BL1523" s="108"/>
      <c r="BM1523" s="108"/>
      <c r="BN1523" s="108"/>
      <c r="BO1523" s="108"/>
      <c r="BP1523" s="108"/>
      <c r="BQ1523" s="108"/>
      <c r="BR1523" s="108"/>
      <c r="BS1523" s="108"/>
      <c r="BT1523" s="108"/>
      <c r="BU1523" s="108"/>
      <c r="BV1523" s="108"/>
      <c r="BW1523" s="108"/>
      <c r="BX1523" s="108"/>
      <c r="BY1523" s="108"/>
      <c r="BZ1523" s="108"/>
      <c r="CA1523" s="108"/>
      <c r="CB1523" s="108"/>
      <c r="CC1523" s="108"/>
      <c r="CD1523" s="108"/>
      <c r="CE1523" s="108"/>
      <c r="CF1523" s="108"/>
      <c r="CG1523" s="108"/>
      <c r="CH1523" s="108"/>
      <c r="CI1523" s="108"/>
      <c r="CJ1523" s="108"/>
      <c r="CK1523" s="108"/>
      <c r="CL1523" s="108"/>
      <c r="CM1523" s="108"/>
      <c r="CN1523" s="110"/>
      <c r="CO1523" s="111"/>
      <c r="CP1523" s="110"/>
      <c r="CQ1523" s="111"/>
      <c r="CR1523" s="110"/>
      <c r="CS1523" s="111"/>
      <c r="CT1523" s="112">
        <f t="shared" si="379"/>
        <v>0</v>
      </c>
      <c r="CU1523" s="113"/>
      <c r="CV1523" s="114"/>
      <c r="CW1523" s="115"/>
      <c r="CX1523" s="116"/>
      <c r="CY1523" s="117"/>
      <c r="CZ1523" s="116"/>
      <c r="DA1523" s="113"/>
      <c r="DB1523" s="114"/>
      <c r="DC1523" s="64"/>
      <c r="DD1523" s="118"/>
    </row>
    <row r="1524" spans="1:108" s="119" customFormat="1" ht="24" outlineLevel="2">
      <c r="A1524" s="178">
        <v>40479</v>
      </c>
      <c r="B1524" s="164" t="s">
        <v>1768</v>
      </c>
      <c r="C1524" s="164" t="s">
        <v>1693</v>
      </c>
      <c r="D1524" s="166" t="s">
        <v>944</v>
      </c>
      <c r="E1524" s="163">
        <v>1</v>
      </c>
      <c r="F1524" s="105">
        <v>3</v>
      </c>
      <c r="G1524" s="105"/>
      <c r="H1524" s="105"/>
      <c r="I1524" s="105"/>
      <c r="J1524" s="105"/>
      <c r="K1524" s="105"/>
      <c r="L1524" s="105"/>
      <c r="M1524" s="105"/>
      <c r="N1524" s="105"/>
      <c r="O1524" s="105"/>
      <c r="P1524" s="105"/>
      <c r="Q1524" s="105"/>
      <c r="R1524" s="105"/>
      <c r="S1524" s="105"/>
      <c r="T1524" s="106"/>
      <c r="U1524" s="130"/>
      <c r="V1524" s="1"/>
      <c r="W1524" s="68">
        <f t="shared" si="374"/>
        <v>0</v>
      </c>
      <c r="X1524" s="68">
        <f t="shared" si="375"/>
        <v>0</v>
      </c>
      <c r="Y1524" s="68">
        <f t="shared" si="376"/>
        <v>0</v>
      </c>
      <c r="Z1524" s="68">
        <f t="shared" si="377"/>
        <v>0</v>
      </c>
      <c r="AA1524" s="68"/>
      <c r="AB1524" s="68">
        <v>0</v>
      </c>
      <c r="AC1524" s="69">
        <f t="shared" si="378"/>
        <v>0</v>
      </c>
      <c r="AD1524" s="70">
        <v>0</v>
      </c>
      <c r="AE1524" s="63">
        <v>40482</v>
      </c>
      <c r="AF1524" s="72"/>
      <c r="AG1524" s="63" t="s">
        <v>938</v>
      </c>
      <c r="AH1524" s="23" t="s">
        <v>939</v>
      </c>
      <c r="AI1524" s="60"/>
      <c r="AJ1524" s="124" t="s">
        <v>1608</v>
      </c>
      <c r="AK1524" s="121" t="s">
        <v>2359</v>
      </c>
      <c r="AL1524" s="107"/>
      <c r="AM1524" s="108"/>
      <c r="AN1524" s="109"/>
      <c r="AO1524" s="108"/>
      <c r="AP1524" s="108"/>
      <c r="AQ1524" s="108"/>
      <c r="AR1524" s="108"/>
      <c r="AS1524" s="108"/>
      <c r="AT1524" s="108"/>
      <c r="AU1524" s="108"/>
      <c r="AV1524" s="108"/>
      <c r="AW1524" s="108"/>
      <c r="AX1524" s="108"/>
      <c r="AY1524" s="108"/>
      <c r="AZ1524" s="108"/>
      <c r="BA1524" s="108"/>
      <c r="BB1524" s="108"/>
      <c r="BC1524" s="108"/>
      <c r="BD1524" s="108"/>
      <c r="BE1524" s="108"/>
      <c r="BF1524" s="108"/>
      <c r="BG1524" s="108"/>
      <c r="BH1524" s="108"/>
      <c r="BI1524" s="108"/>
      <c r="BJ1524" s="108"/>
      <c r="BK1524" s="108"/>
      <c r="BL1524" s="108"/>
      <c r="BM1524" s="108"/>
      <c r="BN1524" s="108"/>
      <c r="BO1524" s="108"/>
      <c r="BP1524" s="108"/>
      <c r="BQ1524" s="108"/>
      <c r="BR1524" s="108"/>
      <c r="BS1524" s="108"/>
      <c r="BT1524" s="108"/>
      <c r="BU1524" s="108"/>
      <c r="BV1524" s="108"/>
      <c r="BW1524" s="108"/>
      <c r="BX1524" s="108"/>
      <c r="BY1524" s="108"/>
      <c r="BZ1524" s="108"/>
      <c r="CA1524" s="108"/>
      <c r="CB1524" s="108"/>
      <c r="CC1524" s="108"/>
      <c r="CD1524" s="108"/>
      <c r="CE1524" s="108"/>
      <c r="CF1524" s="108"/>
      <c r="CG1524" s="108"/>
      <c r="CH1524" s="108"/>
      <c r="CI1524" s="108"/>
      <c r="CJ1524" s="108"/>
      <c r="CK1524" s="108"/>
      <c r="CL1524" s="108"/>
      <c r="CM1524" s="108"/>
      <c r="CN1524" s="110"/>
      <c r="CO1524" s="111"/>
      <c r="CP1524" s="110"/>
      <c r="CQ1524" s="111"/>
      <c r="CR1524" s="110"/>
      <c r="CS1524" s="111"/>
      <c r="CT1524" s="112">
        <f t="shared" si="379"/>
        <v>0</v>
      </c>
      <c r="CU1524" s="113"/>
      <c r="CV1524" s="114"/>
      <c r="CW1524" s="115"/>
      <c r="CX1524" s="116"/>
      <c r="CY1524" s="117"/>
      <c r="CZ1524" s="116"/>
      <c r="DA1524" s="113"/>
      <c r="DB1524" s="114"/>
      <c r="DC1524" s="64"/>
      <c r="DD1524" s="118"/>
    </row>
    <row r="1525" spans="1:108" s="119" customFormat="1" ht="48" outlineLevel="2">
      <c r="A1525" s="178">
        <v>40483</v>
      </c>
      <c r="B1525" s="164" t="s">
        <v>1768</v>
      </c>
      <c r="C1525" s="164" t="s">
        <v>1532</v>
      </c>
      <c r="D1525" s="166" t="s">
        <v>1262</v>
      </c>
      <c r="E1525" s="163"/>
      <c r="F1525" s="105"/>
      <c r="G1525" s="105"/>
      <c r="H1525" s="105">
        <v>1069</v>
      </c>
      <c r="I1525" s="105">
        <v>263</v>
      </c>
      <c r="J1525" s="105"/>
      <c r="K1525" s="105">
        <v>263</v>
      </c>
      <c r="L1525" s="105"/>
      <c r="M1525" s="105"/>
      <c r="N1525" s="105"/>
      <c r="O1525" s="105"/>
      <c r="P1525" s="105"/>
      <c r="Q1525" s="105"/>
      <c r="R1525" s="105"/>
      <c r="S1525" s="105"/>
      <c r="T1525" s="106"/>
      <c r="U1525" s="130"/>
      <c r="V1525" s="1"/>
      <c r="W1525" s="68">
        <f t="shared" si="374"/>
        <v>0</v>
      </c>
      <c r="X1525" s="68">
        <f t="shared" si="375"/>
        <v>0</v>
      </c>
      <c r="Y1525" s="68">
        <f t="shared" si="376"/>
        <v>0</v>
      </c>
      <c r="Z1525" s="68">
        <f t="shared" si="377"/>
        <v>0</v>
      </c>
      <c r="AA1525" s="68"/>
      <c r="AB1525" s="68">
        <v>0</v>
      </c>
      <c r="AC1525" s="69">
        <f t="shared" si="378"/>
        <v>0</v>
      </c>
      <c r="AD1525" s="70">
        <v>0</v>
      </c>
      <c r="AE1525" s="63">
        <v>40494</v>
      </c>
      <c r="AF1525" s="72"/>
      <c r="AG1525" s="63" t="s">
        <v>938</v>
      </c>
      <c r="AH1525" s="23" t="s">
        <v>939</v>
      </c>
      <c r="AI1525" s="60"/>
      <c r="AJ1525" s="124" t="s">
        <v>1608</v>
      </c>
      <c r="AK1525" s="121" t="s">
        <v>5</v>
      </c>
      <c r="AL1525" s="107"/>
      <c r="AM1525" s="108"/>
      <c r="AN1525" s="109"/>
      <c r="AO1525" s="108"/>
      <c r="AP1525" s="108"/>
      <c r="AQ1525" s="108"/>
      <c r="AR1525" s="108"/>
      <c r="AS1525" s="108"/>
      <c r="AT1525" s="108"/>
      <c r="AU1525" s="108"/>
      <c r="AV1525" s="108"/>
      <c r="AW1525" s="108"/>
      <c r="AX1525" s="108"/>
      <c r="AY1525" s="108"/>
      <c r="AZ1525" s="108"/>
      <c r="BA1525" s="108"/>
      <c r="BB1525" s="108"/>
      <c r="BC1525" s="108"/>
      <c r="BD1525" s="108"/>
      <c r="BE1525" s="108"/>
      <c r="BF1525" s="108"/>
      <c r="BG1525" s="108"/>
      <c r="BH1525" s="108"/>
      <c r="BI1525" s="108"/>
      <c r="BJ1525" s="108"/>
      <c r="BK1525" s="108"/>
      <c r="BL1525" s="108"/>
      <c r="BM1525" s="108"/>
      <c r="BN1525" s="108"/>
      <c r="BO1525" s="108"/>
      <c r="BP1525" s="108"/>
      <c r="BQ1525" s="108"/>
      <c r="BR1525" s="108"/>
      <c r="BS1525" s="108"/>
      <c r="BT1525" s="108"/>
      <c r="BU1525" s="108"/>
      <c r="BV1525" s="108"/>
      <c r="BW1525" s="108"/>
      <c r="BX1525" s="108"/>
      <c r="BY1525" s="108"/>
      <c r="BZ1525" s="108"/>
      <c r="CA1525" s="108"/>
      <c r="CB1525" s="108"/>
      <c r="CC1525" s="108"/>
      <c r="CD1525" s="108"/>
      <c r="CE1525" s="108"/>
      <c r="CF1525" s="108"/>
      <c r="CG1525" s="108"/>
      <c r="CH1525" s="108"/>
      <c r="CI1525" s="108"/>
      <c r="CJ1525" s="108"/>
      <c r="CK1525" s="108"/>
      <c r="CL1525" s="108"/>
      <c r="CM1525" s="108"/>
      <c r="CN1525" s="110"/>
      <c r="CO1525" s="111"/>
      <c r="CP1525" s="110"/>
      <c r="CQ1525" s="111"/>
      <c r="CR1525" s="110"/>
      <c r="CS1525" s="111"/>
      <c r="CT1525" s="112">
        <f t="shared" si="379"/>
        <v>0</v>
      </c>
      <c r="CU1525" s="113"/>
      <c r="CV1525" s="114"/>
      <c r="CW1525" s="115"/>
      <c r="CX1525" s="116"/>
      <c r="CY1525" s="117"/>
      <c r="CZ1525" s="116"/>
      <c r="DA1525" s="113"/>
      <c r="DB1525" s="114"/>
      <c r="DC1525" s="64"/>
      <c r="DD1525" s="118"/>
    </row>
    <row r="1526" spans="1:108" s="119" customFormat="1" ht="120" outlineLevel="2">
      <c r="A1526" s="178">
        <v>40485</v>
      </c>
      <c r="B1526" s="164" t="s">
        <v>1768</v>
      </c>
      <c r="C1526" s="164" t="s">
        <v>960</v>
      </c>
      <c r="D1526" s="166" t="s">
        <v>1262</v>
      </c>
      <c r="E1526" s="163"/>
      <c r="F1526" s="105"/>
      <c r="G1526" s="105"/>
      <c r="H1526" s="105">
        <f>326*5</f>
        <v>1630</v>
      </c>
      <c r="I1526" s="105">
        <v>326</v>
      </c>
      <c r="J1526" s="105"/>
      <c r="K1526" s="105">
        <v>326</v>
      </c>
      <c r="L1526" s="105"/>
      <c r="M1526" s="105"/>
      <c r="N1526" s="105"/>
      <c r="O1526" s="105"/>
      <c r="P1526" s="105"/>
      <c r="Q1526" s="105"/>
      <c r="R1526" s="105"/>
      <c r="S1526" s="105"/>
      <c r="T1526" s="106"/>
      <c r="U1526" s="130"/>
      <c r="V1526" s="1"/>
      <c r="W1526" s="68">
        <f t="shared" si="374"/>
        <v>0</v>
      </c>
      <c r="X1526" s="68">
        <f t="shared" si="375"/>
        <v>0</v>
      </c>
      <c r="Y1526" s="68">
        <f t="shared" si="376"/>
        <v>0</v>
      </c>
      <c r="Z1526" s="68">
        <f t="shared" si="377"/>
        <v>0</v>
      </c>
      <c r="AA1526" s="68"/>
      <c r="AB1526" s="68">
        <v>0</v>
      </c>
      <c r="AC1526" s="69">
        <f t="shared" si="378"/>
        <v>0</v>
      </c>
      <c r="AD1526" s="70">
        <v>40228000</v>
      </c>
      <c r="AE1526" s="63">
        <v>40484</v>
      </c>
      <c r="AF1526" s="72"/>
      <c r="AG1526" s="63" t="s">
        <v>954</v>
      </c>
      <c r="AH1526" s="23" t="s">
        <v>955</v>
      </c>
      <c r="AI1526" s="83"/>
      <c r="AJ1526" s="124" t="s">
        <v>1608</v>
      </c>
      <c r="AK1526" s="121" t="s">
        <v>280</v>
      </c>
      <c r="AL1526" s="107"/>
      <c r="AM1526" s="108"/>
      <c r="AN1526" s="109"/>
      <c r="AO1526" s="108"/>
      <c r="AP1526" s="108"/>
      <c r="AQ1526" s="108"/>
      <c r="AR1526" s="108"/>
      <c r="AS1526" s="108"/>
      <c r="AT1526" s="108"/>
      <c r="AU1526" s="108"/>
      <c r="AV1526" s="108"/>
      <c r="AW1526" s="108"/>
      <c r="AX1526" s="108"/>
      <c r="AY1526" s="108"/>
      <c r="AZ1526" s="108"/>
      <c r="BA1526" s="108"/>
      <c r="BB1526" s="108"/>
      <c r="BC1526" s="108"/>
      <c r="BD1526" s="108"/>
      <c r="BE1526" s="108"/>
      <c r="BF1526" s="108"/>
      <c r="BG1526" s="108"/>
      <c r="BH1526" s="108"/>
      <c r="BI1526" s="108"/>
      <c r="BJ1526" s="108"/>
      <c r="BK1526" s="108"/>
      <c r="BL1526" s="108"/>
      <c r="BM1526" s="108"/>
      <c r="BN1526" s="108"/>
      <c r="BO1526" s="108"/>
      <c r="BP1526" s="108"/>
      <c r="BQ1526" s="108"/>
      <c r="BR1526" s="108"/>
      <c r="BS1526" s="108"/>
      <c r="BT1526" s="108"/>
      <c r="BU1526" s="108"/>
      <c r="BV1526" s="108"/>
      <c r="BW1526" s="108"/>
      <c r="BX1526" s="108"/>
      <c r="BY1526" s="108"/>
      <c r="BZ1526" s="108"/>
      <c r="CA1526" s="108"/>
      <c r="CB1526" s="108"/>
      <c r="CC1526" s="108"/>
      <c r="CD1526" s="108"/>
      <c r="CE1526" s="108"/>
      <c r="CF1526" s="108"/>
      <c r="CG1526" s="108"/>
      <c r="CH1526" s="108"/>
      <c r="CI1526" s="108"/>
      <c r="CJ1526" s="108"/>
      <c r="CK1526" s="108"/>
      <c r="CL1526" s="108"/>
      <c r="CM1526" s="108"/>
      <c r="CN1526" s="110"/>
      <c r="CO1526" s="111"/>
      <c r="CP1526" s="110"/>
      <c r="CQ1526" s="111"/>
      <c r="CR1526" s="110"/>
      <c r="CS1526" s="111"/>
      <c r="CT1526" s="112">
        <f t="shared" si="379"/>
        <v>0</v>
      </c>
      <c r="CU1526" s="113"/>
      <c r="CV1526" s="114"/>
      <c r="CW1526" s="115"/>
      <c r="CX1526" s="116"/>
      <c r="CY1526" s="117"/>
      <c r="CZ1526" s="116"/>
      <c r="DA1526" s="113"/>
      <c r="DB1526" s="114"/>
      <c r="DC1526" s="64"/>
      <c r="DD1526" s="118"/>
    </row>
    <row r="1527" spans="1:108" s="119" customFormat="1" ht="36" outlineLevel="2">
      <c r="A1527" s="178">
        <v>40485</v>
      </c>
      <c r="B1527" s="164" t="s">
        <v>1768</v>
      </c>
      <c r="C1527" s="164" t="s">
        <v>1532</v>
      </c>
      <c r="D1527" s="166" t="s">
        <v>1262</v>
      </c>
      <c r="E1527" s="163"/>
      <c r="F1527" s="105"/>
      <c r="G1527" s="105"/>
      <c r="H1527" s="105">
        <v>33</v>
      </c>
      <c r="I1527" s="105">
        <v>9</v>
      </c>
      <c r="J1527" s="105">
        <v>1</v>
      </c>
      <c r="K1527" s="105">
        <v>8</v>
      </c>
      <c r="L1527" s="105"/>
      <c r="M1527" s="105"/>
      <c r="N1527" s="105"/>
      <c r="O1527" s="105"/>
      <c r="P1527" s="105"/>
      <c r="Q1527" s="105"/>
      <c r="R1527" s="105"/>
      <c r="S1527" s="105"/>
      <c r="T1527" s="106"/>
      <c r="U1527" s="130"/>
      <c r="V1527" s="1"/>
      <c r="W1527" s="68">
        <f t="shared" si="374"/>
        <v>0</v>
      </c>
      <c r="X1527" s="68">
        <f t="shared" si="375"/>
        <v>0</v>
      </c>
      <c r="Y1527" s="68">
        <f t="shared" si="376"/>
        <v>0</v>
      </c>
      <c r="Z1527" s="68">
        <f t="shared" si="377"/>
        <v>0</v>
      </c>
      <c r="AA1527" s="68"/>
      <c r="AB1527" s="68">
        <v>0</v>
      </c>
      <c r="AC1527" s="69">
        <f t="shared" si="378"/>
        <v>0</v>
      </c>
      <c r="AD1527" s="70">
        <v>0</v>
      </c>
      <c r="AE1527" s="63">
        <v>40487</v>
      </c>
      <c r="AF1527" s="72"/>
      <c r="AG1527" s="63" t="s">
        <v>938</v>
      </c>
      <c r="AH1527" s="23" t="s">
        <v>939</v>
      </c>
      <c r="AI1527" s="60"/>
      <c r="AJ1527" s="124" t="s">
        <v>1608</v>
      </c>
      <c r="AK1527" s="121" t="s">
        <v>391</v>
      </c>
      <c r="AL1527" s="107"/>
      <c r="AM1527" s="108"/>
      <c r="AN1527" s="109"/>
      <c r="AO1527" s="108"/>
      <c r="AP1527" s="108"/>
      <c r="AQ1527" s="108"/>
      <c r="AR1527" s="108"/>
      <c r="AS1527" s="108"/>
      <c r="AT1527" s="108"/>
      <c r="AU1527" s="108"/>
      <c r="AV1527" s="108"/>
      <c r="AW1527" s="108"/>
      <c r="AX1527" s="108"/>
      <c r="AY1527" s="108"/>
      <c r="AZ1527" s="108"/>
      <c r="BA1527" s="108"/>
      <c r="BB1527" s="108"/>
      <c r="BC1527" s="108"/>
      <c r="BD1527" s="108"/>
      <c r="BE1527" s="108"/>
      <c r="BF1527" s="108"/>
      <c r="BG1527" s="108"/>
      <c r="BH1527" s="108"/>
      <c r="BI1527" s="108"/>
      <c r="BJ1527" s="108"/>
      <c r="BK1527" s="108"/>
      <c r="BL1527" s="108"/>
      <c r="BM1527" s="108"/>
      <c r="BN1527" s="108"/>
      <c r="BO1527" s="108"/>
      <c r="BP1527" s="108"/>
      <c r="BQ1527" s="108"/>
      <c r="BR1527" s="108"/>
      <c r="BS1527" s="108"/>
      <c r="BT1527" s="108"/>
      <c r="BU1527" s="108"/>
      <c r="BV1527" s="108"/>
      <c r="BW1527" s="108"/>
      <c r="BX1527" s="108"/>
      <c r="BY1527" s="108"/>
      <c r="BZ1527" s="108"/>
      <c r="CA1527" s="108"/>
      <c r="CB1527" s="108"/>
      <c r="CC1527" s="108"/>
      <c r="CD1527" s="108"/>
      <c r="CE1527" s="108"/>
      <c r="CF1527" s="108"/>
      <c r="CG1527" s="108"/>
      <c r="CH1527" s="108"/>
      <c r="CI1527" s="108"/>
      <c r="CJ1527" s="108"/>
      <c r="CK1527" s="108"/>
      <c r="CL1527" s="108"/>
      <c r="CM1527" s="108"/>
      <c r="CN1527" s="110"/>
      <c r="CO1527" s="111"/>
      <c r="CP1527" s="110"/>
      <c r="CQ1527" s="111"/>
      <c r="CR1527" s="110"/>
      <c r="CS1527" s="111"/>
      <c r="CT1527" s="112">
        <f t="shared" si="379"/>
        <v>0</v>
      </c>
      <c r="CU1527" s="113"/>
      <c r="CV1527" s="114"/>
      <c r="CW1527" s="115"/>
      <c r="CX1527" s="116"/>
      <c r="CY1527" s="117"/>
      <c r="CZ1527" s="116"/>
      <c r="DA1527" s="113"/>
      <c r="DB1527" s="114"/>
      <c r="DC1527" s="64"/>
      <c r="DD1527" s="118"/>
    </row>
    <row r="1528" spans="1:108" s="119" customFormat="1" ht="84" outlineLevel="2">
      <c r="A1528" s="178">
        <v>40485</v>
      </c>
      <c r="B1528" s="164" t="s">
        <v>1768</v>
      </c>
      <c r="C1528" s="164" t="s">
        <v>1877</v>
      </c>
      <c r="D1528" s="166" t="s">
        <v>1262</v>
      </c>
      <c r="E1528" s="163"/>
      <c r="F1528" s="105"/>
      <c r="G1528" s="105"/>
      <c r="H1528" s="105">
        <f>415*5</f>
        <v>2075</v>
      </c>
      <c r="I1528" s="105">
        <v>415</v>
      </c>
      <c r="J1528" s="105"/>
      <c r="K1528" s="105">
        <v>415</v>
      </c>
      <c r="L1528" s="105"/>
      <c r="M1528" s="105"/>
      <c r="N1528" s="105"/>
      <c r="O1528" s="105"/>
      <c r="P1528" s="105"/>
      <c r="Q1528" s="105"/>
      <c r="R1528" s="105"/>
      <c r="S1528" s="105"/>
      <c r="T1528" s="106"/>
      <c r="U1528" s="130"/>
      <c r="V1528" s="1"/>
      <c r="W1528" s="68">
        <f t="shared" si="374"/>
        <v>0</v>
      </c>
      <c r="X1528" s="68">
        <f t="shared" si="375"/>
        <v>0</v>
      </c>
      <c r="Y1528" s="68">
        <f t="shared" si="376"/>
        <v>0</v>
      </c>
      <c r="Z1528" s="68">
        <f t="shared" si="377"/>
        <v>0</v>
      </c>
      <c r="AA1528" s="68"/>
      <c r="AB1528" s="68">
        <v>0</v>
      </c>
      <c r="AC1528" s="69">
        <f t="shared" si="378"/>
        <v>0</v>
      </c>
      <c r="AD1528" s="70">
        <v>73870000</v>
      </c>
      <c r="AE1528" s="63">
        <v>40484</v>
      </c>
      <c r="AF1528" s="72"/>
      <c r="AG1528" s="63" t="s">
        <v>954</v>
      </c>
      <c r="AH1528" s="23" t="s">
        <v>955</v>
      </c>
      <c r="AI1528" s="83"/>
      <c r="AJ1528" s="124" t="s">
        <v>1608</v>
      </c>
      <c r="AK1528" s="121" t="s">
        <v>282</v>
      </c>
      <c r="AL1528" s="107"/>
      <c r="AM1528" s="108"/>
      <c r="AN1528" s="109"/>
      <c r="AO1528" s="108"/>
      <c r="AP1528" s="108"/>
      <c r="AQ1528" s="108"/>
      <c r="AR1528" s="108"/>
      <c r="AS1528" s="108"/>
      <c r="AT1528" s="108"/>
      <c r="AU1528" s="108"/>
      <c r="AV1528" s="108"/>
      <c r="AW1528" s="108"/>
      <c r="AX1528" s="108"/>
      <c r="AY1528" s="108"/>
      <c r="AZ1528" s="108"/>
      <c r="BA1528" s="108"/>
      <c r="BB1528" s="108"/>
      <c r="BC1528" s="108"/>
      <c r="BD1528" s="108"/>
      <c r="BE1528" s="108"/>
      <c r="BF1528" s="108"/>
      <c r="BG1528" s="108"/>
      <c r="BH1528" s="108"/>
      <c r="BI1528" s="108"/>
      <c r="BJ1528" s="108"/>
      <c r="BK1528" s="108"/>
      <c r="BL1528" s="108"/>
      <c r="BM1528" s="108"/>
      <c r="BN1528" s="108"/>
      <c r="BO1528" s="108"/>
      <c r="BP1528" s="108"/>
      <c r="BQ1528" s="108"/>
      <c r="BR1528" s="108"/>
      <c r="BS1528" s="108"/>
      <c r="BT1528" s="108"/>
      <c r="BU1528" s="108"/>
      <c r="BV1528" s="108"/>
      <c r="BW1528" s="108"/>
      <c r="BX1528" s="108"/>
      <c r="BY1528" s="108"/>
      <c r="BZ1528" s="108"/>
      <c r="CA1528" s="108"/>
      <c r="CB1528" s="108"/>
      <c r="CC1528" s="108"/>
      <c r="CD1528" s="108"/>
      <c r="CE1528" s="108"/>
      <c r="CF1528" s="108"/>
      <c r="CG1528" s="108"/>
      <c r="CH1528" s="108"/>
      <c r="CI1528" s="108"/>
      <c r="CJ1528" s="108"/>
      <c r="CK1528" s="108"/>
      <c r="CL1528" s="108"/>
      <c r="CM1528" s="108"/>
      <c r="CN1528" s="110"/>
      <c r="CO1528" s="111"/>
      <c r="CP1528" s="110"/>
      <c r="CQ1528" s="111"/>
      <c r="CR1528" s="110"/>
      <c r="CS1528" s="111"/>
      <c r="CT1528" s="112">
        <f t="shared" si="379"/>
        <v>0</v>
      </c>
      <c r="CU1528" s="113"/>
      <c r="CV1528" s="114"/>
      <c r="CW1528" s="115"/>
      <c r="CX1528" s="116"/>
      <c r="CY1528" s="117"/>
      <c r="CZ1528" s="116"/>
      <c r="DA1528" s="113"/>
      <c r="DB1528" s="114"/>
      <c r="DC1528" s="64"/>
      <c r="DD1528" s="118"/>
    </row>
    <row r="1529" spans="1:108" s="119" customFormat="1" ht="22.5" outlineLevel="2">
      <c r="A1529" s="178">
        <v>40485</v>
      </c>
      <c r="B1529" s="164" t="s">
        <v>1768</v>
      </c>
      <c r="C1529" s="164" t="s">
        <v>364</v>
      </c>
      <c r="D1529" s="165" t="s">
        <v>1182</v>
      </c>
      <c r="E1529" s="163"/>
      <c r="F1529" s="105"/>
      <c r="G1529" s="105"/>
      <c r="H1529" s="105">
        <v>25</v>
      </c>
      <c r="I1529" s="105">
        <v>5</v>
      </c>
      <c r="J1529" s="105"/>
      <c r="K1529" s="105">
        <v>5</v>
      </c>
      <c r="L1529" s="105"/>
      <c r="M1529" s="105"/>
      <c r="N1529" s="105"/>
      <c r="O1529" s="105"/>
      <c r="P1529" s="105"/>
      <c r="Q1529" s="105"/>
      <c r="R1529" s="105"/>
      <c r="S1529" s="105"/>
      <c r="T1529" s="106"/>
      <c r="U1529" s="130"/>
      <c r="V1529" s="1"/>
      <c r="W1529" s="68">
        <f t="shared" si="374"/>
        <v>0</v>
      </c>
      <c r="X1529" s="68">
        <f t="shared" si="375"/>
        <v>0</v>
      </c>
      <c r="Y1529" s="68">
        <f t="shared" si="376"/>
        <v>0</v>
      </c>
      <c r="Z1529" s="68">
        <f t="shared" si="377"/>
        <v>0</v>
      </c>
      <c r="AA1529" s="68"/>
      <c r="AB1529" s="68">
        <v>0</v>
      </c>
      <c r="AC1529" s="69">
        <f t="shared" si="378"/>
        <v>0</v>
      </c>
      <c r="AD1529" s="70">
        <v>0</v>
      </c>
      <c r="AE1529" s="63">
        <v>40484</v>
      </c>
      <c r="AF1529" s="72"/>
      <c r="AG1529" s="63" t="s">
        <v>938</v>
      </c>
      <c r="AH1529" s="23" t="s">
        <v>939</v>
      </c>
      <c r="AI1529" s="83"/>
      <c r="AJ1529" s="124" t="s">
        <v>1608</v>
      </c>
      <c r="AK1529" s="121" t="s">
        <v>365</v>
      </c>
      <c r="AL1529" s="107"/>
      <c r="AM1529" s="108"/>
      <c r="AN1529" s="109"/>
      <c r="AO1529" s="108"/>
      <c r="AP1529" s="108"/>
      <c r="AQ1529" s="108"/>
      <c r="AR1529" s="108"/>
      <c r="AS1529" s="108"/>
      <c r="AT1529" s="108"/>
      <c r="AU1529" s="108"/>
      <c r="AV1529" s="108"/>
      <c r="AW1529" s="108"/>
      <c r="AX1529" s="108"/>
      <c r="AY1529" s="108"/>
      <c r="AZ1529" s="108"/>
      <c r="BA1529" s="108"/>
      <c r="BB1529" s="108"/>
      <c r="BC1529" s="108"/>
      <c r="BD1529" s="108"/>
      <c r="BE1529" s="108"/>
      <c r="BF1529" s="108"/>
      <c r="BG1529" s="108"/>
      <c r="BH1529" s="108"/>
      <c r="BI1529" s="108"/>
      <c r="BJ1529" s="108"/>
      <c r="BK1529" s="108"/>
      <c r="BL1529" s="108"/>
      <c r="BM1529" s="108"/>
      <c r="BN1529" s="108"/>
      <c r="BO1529" s="108"/>
      <c r="BP1529" s="108"/>
      <c r="BQ1529" s="108"/>
      <c r="BR1529" s="108"/>
      <c r="BS1529" s="108"/>
      <c r="BT1529" s="108"/>
      <c r="BU1529" s="108"/>
      <c r="BV1529" s="108"/>
      <c r="BW1529" s="108"/>
      <c r="BX1529" s="108"/>
      <c r="BY1529" s="108"/>
      <c r="BZ1529" s="108"/>
      <c r="CA1529" s="108"/>
      <c r="CB1529" s="108"/>
      <c r="CC1529" s="108"/>
      <c r="CD1529" s="108"/>
      <c r="CE1529" s="108"/>
      <c r="CF1529" s="108"/>
      <c r="CG1529" s="108"/>
      <c r="CH1529" s="108"/>
      <c r="CI1529" s="108"/>
      <c r="CJ1529" s="108"/>
      <c r="CK1529" s="108"/>
      <c r="CL1529" s="108"/>
      <c r="CM1529" s="108"/>
      <c r="CN1529" s="110"/>
      <c r="CO1529" s="111"/>
      <c r="CP1529" s="110"/>
      <c r="CQ1529" s="111"/>
      <c r="CR1529" s="110"/>
      <c r="CS1529" s="111"/>
      <c r="CT1529" s="112">
        <f t="shared" si="379"/>
        <v>0</v>
      </c>
      <c r="CU1529" s="113"/>
      <c r="CV1529" s="114"/>
      <c r="CW1529" s="115"/>
      <c r="CX1529" s="116"/>
      <c r="CY1529" s="117"/>
      <c r="CZ1529" s="116"/>
      <c r="DA1529" s="113"/>
      <c r="DB1529" s="114"/>
      <c r="DC1529" s="64"/>
      <c r="DD1529" s="118"/>
    </row>
    <row r="1530" spans="1:108" s="119" customFormat="1" ht="72" outlineLevel="2">
      <c r="A1530" s="178">
        <v>40485</v>
      </c>
      <c r="B1530" s="164" t="s">
        <v>1768</v>
      </c>
      <c r="C1530" s="164" t="s">
        <v>363</v>
      </c>
      <c r="D1530" s="166" t="s">
        <v>1262</v>
      </c>
      <c r="E1530" s="163"/>
      <c r="F1530" s="105"/>
      <c r="G1530" s="105"/>
      <c r="H1530" s="105">
        <f>330*5</f>
        <v>1650</v>
      </c>
      <c r="I1530" s="105">
        <v>330</v>
      </c>
      <c r="J1530" s="105"/>
      <c r="K1530" s="105">
        <v>330</v>
      </c>
      <c r="L1530" s="105"/>
      <c r="M1530" s="105"/>
      <c r="N1530" s="105"/>
      <c r="O1530" s="105"/>
      <c r="P1530" s="105"/>
      <c r="Q1530" s="105"/>
      <c r="R1530" s="105"/>
      <c r="S1530" s="105"/>
      <c r="T1530" s="106"/>
      <c r="U1530" s="130"/>
      <c r="V1530" s="1"/>
      <c r="W1530" s="68">
        <f t="shared" si="374"/>
        <v>0</v>
      </c>
      <c r="X1530" s="68">
        <f t="shared" si="375"/>
        <v>0</v>
      </c>
      <c r="Y1530" s="68">
        <f t="shared" si="376"/>
        <v>0</v>
      </c>
      <c r="Z1530" s="68">
        <f t="shared" si="377"/>
        <v>0</v>
      </c>
      <c r="AA1530" s="68"/>
      <c r="AB1530" s="68">
        <v>0</v>
      </c>
      <c r="AC1530" s="69">
        <f t="shared" si="378"/>
        <v>0</v>
      </c>
      <c r="AD1530" s="70">
        <v>52688000</v>
      </c>
      <c r="AE1530" s="63">
        <v>40484</v>
      </c>
      <c r="AF1530" s="72"/>
      <c r="AG1530" s="63" t="s">
        <v>954</v>
      </c>
      <c r="AH1530" s="23" t="s">
        <v>955</v>
      </c>
      <c r="AI1530" s="83"/>
      <c r="AJ1530" s="124" t="s">
        <v>1608</v>
      </c>
      <c r="AK1530" s="121" t="s">
        <v>283</v>
      </c>
      <c r="AL1530" s="107"/>
      <c r="AM1530" s="108"/>
      <c r="AN1530" s="109"/>
      <c r="AO1530" s="108"/>
      <c r="AP1530" s="108"/>
      <c r="AQ1530" s="108"/>
      <c r="AR1530" s="108"/>
      <c r="AS1530" s="108"/>
      <c r="AT1530" s="108"/>
      <c r="AU1530" s="108"/>
      <c r="AV1530" s="108"/>
      <c r="AW1530" s="108"/>
      <c r="AX1530" s="108"/>
      <c r="AY1530" s="108"/>
      <c r="AZ1530" s="108"/>
      <c r="BA1530" s="108"/>
      <c r="BB1530" s="108"/>
      <c r="BC1530" s="108"/>
      <c r="BD1530" s="108"/>
      <c r="BE1530" s="108"/>
      <c r="BF1530" s="108"/>
      <c r="BG1530" s="108"/>
      <c r="BH1530" s="108"/>
      <c r="BI1530" s="108"/>
      <c r="BJ1530" s="108"/>
      <c r="BK1530" s="108"/>
      <c r="BL1530" s="108"/>
      <c r="BM1530" s="108"/>
      <c r="BN1530" s="108"/>
      <c r="BO1530" s="108"/>
      <c r="BP1530" s="108"/>
      <c r="BQ1530" s="108"/>
      <c r="BR1530" s="108"/>
      <c r="BS1530" s="108"/>
      <c r="BT1530" s="108"/>
      <c r="BU1530" s="108"/>
      <c r="BV1530" s="108"/>
      <c r="BW1530" s="108"/>
      <c r="BX1530" s="108"/>
      <c r="BY1530" s="108"/>
      <c r="BZ1530" s="108"/>
      <c r="CA1530" s="108"/>
      <c r="CB1530" s="108"/>
      <c r="CC1530" s="108"/>
      <c r="CD1530" s="108"/>
      <c r="CE1530" s="108"/>
      <c r="CF1530" s="108"/>
      <c r="CG1530" s="108"/>
      <c r="CH1530" s="108"/>
      <c r="CI1530" s="108"/>
      <c r="CJ1530" s="108"/>
      <c r="CK1530" s="108"/>
      <c r="CL1530" s="108"/>
      <c r="CM1530" s="108"/>
      <c r="CN1530" s="110"/>
      <c r="CO1530" s="111"/>
      <c r="CP1530" s="110"/>
      <c r="CQ1530" s="111"/>
      <c r="CR1530" s="110"/>
      <c r="CS1530" s="111"/>
      <c r="CT1530" s="112">
        <f t="shared" si="379"/>
        <v>0</v>
      </c>
      <c r="CU1530" s="113"/>
      <c r="CV1530" s="114"/>
      <c r="CW1530" s="115"/>
      <c r="CX1530" s="116"/>
      <c r="CY1530" s="117"/>
      <c r="CZ1530" s="116"/>
      <c r="DA1530" s="113"/>
      <c r="DB1530" s="114"/>
      <c r="DC1530" s="64"/>
      <c r="DD1530" s="118"/>
    </row>
    <row r="1531" spans="1:108" s="119" customFormat="1" ht="60" outlineLevel="2">
      <c r="A1531" s="178">
        <v>40485</v>
      </c>
      <c r="B1531" s="164" t="s">
        <v>1768</v>
      </c>
      <c r="C1531" s="164" t="s">
        <v>1857</v>
      </c>
      <c r="D1531" s="166" t="s">
        <v>1262</v>
      </c>
      <c r="E1531" s="163"/>
      <c r="F1531" s="105"/>
      <c r="G1531" s="105"/>
      <c r="H1531" s="105">
        <f>355*5</f>
        <v>1775</v>
      </c>
      <c r="I1531" s="105">
        <v>355</v>
      </c>
      <c r="J1531" s="105"/>
      <c r="K1531" s="105">
        <v>355</v>
      </c>
      <c r="L1531" s="105"/>
      <c r="M1531" s="105"/>
      <c r="N1531" s="105"/>
      <c r="O1531" s="105"/>
      <c r="P1531" s="105"/>
      <c r="Q1531" s="105"/>
      <c r="R1531" s="105"/>
      <c r="S1531" s="105"/>
      <c r="T1531" s="106"/>
      <c r="U1531" s="130"/>
      <c r="V1531" s="1">
        <v>40498</v>
      </c>
      <c r="W1531" s="68">
        <f t="shared" si="374"/>
        <v>0</v>
      </c>
      <c r="X1531" s="68">
        <f t="shared" si="375"/>
        <v>0</v>
      </c>
      <c r="Y1531" s="68">
        <f t="shared" si="376"/>
        <v>0</v>
      </c>
      <c r="Z1531" s="68">
        <f t="shared" si="377"/>
        <v>0</v>
      </c>
      <c r="AA1531" s="68"/>
      <c r="AB1531" s="68">
        <v>15000000</v>
      </c>
      <c r="AC1531" s="69">
        <f t="shared" si="378"/>
        <v>15000000</v>
      </c>
      <c r="AD1531" s="70">
        <v>0</v>
      </c>
      <c r="AE1531" s="63">
        <v>40494</v>
      </c>
      <c r="AF1531" s="72">
        <v>63901</v>
      </c>
      <c r="AG1531" s="63" t="s">
        <v>954</v>
      </c>
      <c r="AH1531" s="23" t="s">
        <v>955</v>
      </c>
      <c r="AI1531" s="60">
        <v>42881</v>
      </c>
      <c r="AJ1531" s="124" t="s">
        <v>47</v>
      </c>
      <c r="AK1531" s="125" t="s">
        <v>48</v>
      </c>
      <c r="AL1531" s="107"/>
      <c r="AM1531" s="108"/>
      <c r="AN1531" s="109"/>
      <c r="AO1531" s="108"/>
      <c r="AP1531" s="108"/>
      <c r="AQ1531" s="108"/>
      <c r="AR1531" s="108"/>
      <c r="AS1531" s="108"/>
      <c r="AT1531" s="108"/>
      <c r="AU1531" s="108"/>
      <c r="AV1531" s="108"/>
      <c r="AW1531" s="108"/>
      <c r="AX1531" s="108"/>
      <c r="AY1531" s="108"/>
      <c r="AZ1531" s="108"/>
      <c r="BA1531" s="108"/>
      <c r="BB1531" s="108"/>
      <c r="BC1531" s="108"/>
      <c r="BD1531" s="108"/>
      <c r="BE1531" s="108"/>
      <c r="BF1531" s="108"/>
      <c r="BG1531" s="108"/>
      <c r="BH1531" s="108"/>
      <c r="BI1531" s="108"/>
      <c r="BJ1531" s="108"/>
      <c r="BK1531" s="108"/>
      <c r="BL1531" s="108"/>
      <c r="BM1531" s="108"/>
      <c r="BN1531" s="108"/>
      <c r="BO1531" s="108"/>
      <c r="BP1531" s="108"/>
      <c r="BQ1531" s="108"/>
      <c r="BR1531" s="108"/>
      <c r="BS1531" s="108"/>
      <c r="BT1531" s="108"/>
      <c r="BU1531" s="108"/>
      <c r="BV1531" s="108"/>
      <c r="BW1531" s="108"/>
      <c r="BX1531" s="108"/>
      <c r="BY1531" s="108"/>
      <c r="BZ1531" s="108"/>
      <c r="CA1531" s="108"/>
      <c r="CB1531" s="108"/>
      <c r="CC1531" s="108"/>
      <c r="CD1531" s="108"/>
      <c r="CE1531" s="108"/>
      <c r="CF1531" s="108"/>
      <c r="CG1531" s="108"/>
      <c r="CH1531" s="108"/>
      <c r="CI1531" s="108"/>
      <c r="CJ1531" s="108"/>
      <c r="CK1531" s="108"/>
      <c r="CL1531" s="108"/>
      <c r="CM1531" s="108"/>
      <c r="CN1531" s="110"/>
      <c r="CO1531" s="111"/>
      <c r="CP1531" s="110"/>
      <c r="CQ1531" s="111"/>
      <c r="CR1531" s="110"/>
      <c r="CS1531" s="111"/>
      <c r="CT1531" s="112">
        <f t="shared" si="379"/>
        <v>0</v>
      </c>
      <c r="CU1531" s="113"/>
      <c r="CV1531" s="114"/>
      <c r="CW1531" s="115"/>
      <c r="CX1531" s="116"/>
      <c r="CY1531" s="117"/>
      <c r="CZ1531" s="116"/>
      <c r="DA1531" s="113"/>
      <c r="DB1531" s="114"/>
      <c r="DC1531" s="64">
        <v>2</v>
      </c>
      <c r="DD1531" s="118"/>
    </row>
    <row r="1532" spans="1:108" s="119" customFormat="1" ht="108" outlineLevel="2">
      <c r="A1532" s="178">
        <v>40485</v>
      </c>
      <c r="B1532" s="164" t="s">
        <v>1768</v>
      </c>
      <c r="C1532" s="164" t="s">
        <v>754</v>
      </c>
      <c r="D1532" s="166" t="s">
        <v>1262</v>
      </c>
      <c r="E1532" s="163"/>
      <c r="F1532" s="105"/>
      <c r="G1532" s="105"/>
      <c r="H1532" s="105">
        <f>1096*5</f>
        <v>5480</v>
      </c>
      <c r="I1532" s="105">
        <f>1206-110</f>
        <v>1096</v>
      </c>
      <c r="J1532" s="105"/>
      <c r="K1532" s="105">
        <v>1096</v>
      </c>
      <c r="L1532" s="105"/>
      <c r="M1532" s="105"/>
      <c r="N1532" s="105"/>
      <c r="O1532" s="105"/>
      <c r="P1532" s="105"/>
      <c r="Q1532" s="105"/>
      <c r="R1532" s="105"/>
      <c r="S1532" s="105"/>
      <c r="T1532" s="106"/>
      <c r="U1532" s="130"/>
      <c r="V1532" s="1">
        <v>40498</v>
      </c>
      <c r="W1532" s="68">
        <f t="shared" si="374"/>
        <v>0</v>
      </c>
      <c r="X1532" s="68">
        <f t="shared" si="375"/>
        <v>0</v>
      </c>
      <c r="Y1532" s="68">
        <f t="shared" si="376"/>
        <v>0</v>
      </c>
      <c r="Z1532" s="68">
        <f t="shared" si="377"/>
        <v>0</v>
      </c>
      <c r="AA1532" s="68"/>
      <c r="AB1532" s="68">
        <f>25000000+50000000</f>
        <v>75000000</v>
      </c>
      <c r="AC1532" s="69">
        <f t="shared" si="378"/>
        <v>75000000</v>
      </c>
      <c r="AD1532" s="70">
        <v>0</v>
      </c>
      <c r="AE1532" s="63">
        <v>40494</v>
      </c>
      <c r="AF1532" s="72">
        <v>63924</v>
      </c>
      <c r="AG1532" s="63" t="s">
        <v>954</v>
      </c>
      <c r="AH1532" s="23" t="s">
        <v>955</v>
      </c>
      <c r="AI1532" s="75" t="s">
        <v>2407</v>
      </c>
      <c r="AJ1532" s="124" t="s">
        <v>47</v>
      </c>
      <c r="AK1532" s="125" t="s">
        <v>2408</v>
      </c>
      <c r="AL1532" s="107"/>
      <c r="AM1532" s="108"/>
      <c r="AN1532" s="109"/>
      <c r="AO1532" s="108"/>
      <c r="AP1532" s="108"/>
      <c r="AQ1532" s="108"/>
      <c r="AR1532" s="108"/>
      <c r="AS1532" s="108"/>
      <c r="AT1532" s="108"/>
      <c r="AU1532" s="108"/>
      <c r="AV1532" s="108"/>
      <c r="AW1532" s="108"/>
      <c r="AX1532" s="108"/>
      <c r="AY1532" s="108"/>
      <c r="AZ1532" s="108"/>
      <c r="BA1532" s="108"/>
      <c r="BB1532" s="108"/>
      <c r="BC1532" s="108"/>
      <c r="BD1532" s="108"/>
      <c r="BE1532" s="108"/>
      <c r="BF1532" s="108"/>
      <c r="BG1532" s="108"/>
      <c r="BH1532" s="108"/>
      <c r="BI1532" s="108"/>
      <c r="BJ1532" s="108"/>
      <c r="BK1532" s="108"/>
      <c r="BL1532" s="108"/>
      <c r="BM1532" s="108"/>
      <c r="BN1532" s="108"/>
      <c r="BO1532" s="108"/>
      <c r="BP1532" s="108"/>
      <c r="BQ1532" s="108"/>
      <c r="BR1532" s="108"/>
      <c r="BS1532" s="108"/>
      <c r="BT1532" s="108"/>
      <c r="BU1532" s="108"/>
      <c r="BV1532" s="108"/>
      <c r="BW1532" s="108"/>
      <c r="BX1532" s="108"/>
      <c r="BY1532" s="108"/>
      <c r="BZ1532" s="108"/>
      <c r="CA1532" s="108"/>
      <c r="CB1532" s="108"/>
      <c r="CC1532" s="108"/>
      <c r="CD1532" s="108"/>
      <c r="CE1532" s="108"/>
      <c r="CF1532" s="108"/>
      <c r="CG1532" s="108"/>
      <c r="CH1532" s="108"/>
      <c r="CI1532" s="108"/>
      <c r="CJ1532" s="108"/>
      <c r="CK1532" s="108"/>
      <c r="CL1532" s="108"/>
      <c r="CM1532" s="108"/>
      <c r="CN1532" s="110"/>
      <c r="CO1532" s="111"/>
      <c r="CP1532" s="110"/>
      <c r="CQ1532" s="111"/>
      <c r="CR1532" s="110"/>
      <c r="CS1532" s="111"/>
      <c r="CT1532" s="112">
        <f t="shared" si="379"/>
        <v>0</v>
      </c>
      <c r="CU1532" s="113"/>
      <c r="CV1532" s="114"/>
      <c r="CW1532" s="115"/>
      <c r="CX1532" s="116"/>
      <c r="CY1532" s="117"/>
      <c r="CZ1532" s="116"/>
      <c r="DA1532" s="113"/>
      <c r="DB1532" s="114"/>
      <c r="DC1532" s="64">
        <v>2</v>
      </c>
      <c r="DD1532" s="118">
        <v>1407</v>
      </c>
    </row>
    <row r="1533" spans="1:108" s="119" customFormat="1" ht="108" outlineLevel="2">
      <c r="A1533" s="178">
        <v>40486</v>
      </c>
      <c r="B1533" s="164" t="s">
        <v>1768</v>
      </c>
      <c r="C1533" s="164" t="s">
        <v>97</v>
      </c>
      <c r="D1533" s="166" t="s">
        <v>1262</v>
      </c>
      <c r="E1533" s="163"/>
      <c r="F1533" s="105"/>
      <c r="G1533" s="105"/>
      <c r="H1533" s="105">
        <f>211*5</f>
        <v>1055</v>
      </c>
      <c r="I1533" s="105">
        <v>211</v>
      </c>
      <c r="J1533" s="105"/>
      <c r="K1533" s="105">
        <v>211</v>
      </c>
      <c r="L1533" s="105"/>
      <c r="M1533" s="105"/>
      <c r="N1533" s="105"/>
      <c r="O1533" s="105"/>
      <c r="P1533" s="105"/>
      <c r="Q1533" s="105"/>
      <c r="R1533" s="105"/>
      <c r="S1533" s="105"/>
      <c r="T1533" s="106"/>
      <c r="U1533" s="130"/>
      <c r="V1533" s="1">
        <v>40520</v>
      </c>
      <c r="W1533" s="68">
        <f t="shared" si="374"/>
        <v>0</v>
      </c>
      <c r="X1533" s="68">
        <f t="shared" si="375"/>
        <v>17935000</v>
      </c>
      <c r="Y1533" s="68">
        <f t="shared" si="376"/>
        <v>0</v>
      </c>
      <c r="Z1533" s="68">
        <f t="shared" si="377"/>
        <v>0</v>
      </c>
      <c r="AA1533" s="68"/>
      <c r="AB1533" s="68">
        <v>0</v>
      </c>
      <c r="AC1533" s="69">
        <f t="shared" si="378"/>
        <v>17935000</v>
      </c>
      <c r="AD1533" s="70">
        <f>37558000-17935000</f>
        <v>19623000</v>
      </c>
      <c r="AE1533" s="63">
        <v>40483</v>
      </c>
      <c r="AF1533" s="72"/>
      <c r="AG1533" s="63" t="s">
        <v>954</v>
      </c>
      <c r="AH1533" s="23" t="s">
        <v>955</v>
      </c>
      <c r="AI1533" s="60">
        <v>26384</v>
      </c>
      <c r="AJ1533" s="124" t="s">
        <v>1476</v>
      </c>
      <c r="AK1533" s="121" t="s">
        <v>98</v>
      </c>
      <c r="AL1533" s="107"/>
      <c r="AM1533" s="108"/>
      <c r="AN1533" s="109"/>
      <c r="AO1533" s="108"/>
      <c r="AP1533" s="108"/>
      <c r="AQ1533" s="108"/>
      <c r="AR1533" s="108"/>
      <c r="AS1533" s="108"/>
      <c r="AT1533" s="108"/>
      <c r="AU1533" s="108"/>
      <c r="AV1533" s="108"/>
      <c r="AW1533" s="108"/>
      <c r="AX1533" s="108"/>
      <c r="AY1533" s="108"/>
      <c r="AZ1533" s="108"/>
      <c r="BA1533" s="108"/>
      <c r="BB1533" s="108"/>
      <c r="BC1533" s="108"/>
      <c r="BD1533" s="108"/>
      <c r="BE1533" s="108"/>
      <c r="BF1533" s="108"/>
      <c r="BG1533" s="108"/>
      <c r="BH1533" s="108"/>
      <c r="BI1533" s="108"/>
      <c r="BJ1533" s="108"/>
      <c r="BK1533" s="108"/>
      <c r="BL1533" s="108"/>
      <c r="BM1533" s="108"/>
      <c r="BN1533" s="108"/>
      <c r="BO1533" s="108"/>
      <c r="BP1533" s="108"/>
      <c r="BQ1533" s="108"/>
      <c r="BR1533" s="108"/>
      <c r="BS1533" s="108"/>
      <c r="BT1533" s="108"/>
      <c r="BU1533" s="108"/>
      <c r="BV1533" s="108"/>
      <c r="BW1533" s="108"/>
      <c r="BX1533" s="108"/>
      <c r="BY1533" s="108"/>
      <c r="BZ1533" s="108"/>
      <c r="CA1533" s="108"/>
      <c r="CB1533" s="108"/>
      <c r="CC1533" s="108"/>
      <c r="CD1533" s="108"/>
      <c r="CE1533" s="108"/>
      <c r="CF1533" s="108"/>
      <c r="CG1533" s="108"/>
      <c r="CH1533" s="108"/>
      <c r="CI1533" s="108"/>
      <c r="CJ1533" s="108"/>
      <c r="CK1533" s="108"/>
      <c r="CL1533" s="108"/>
      <c r="CM1533" s="108"/>
      <c r="CN1533" s="110"/>
      <c r="CO1533" s="111"/>
      <c r="CP1533" s="110"/>
      <c r="CQ1533" s="111"/>
      <c r="CR1533" s="110"/>
      <c r="CS1533" s="111"/>
      <c r="CT1533" s="112">
        <f t="shared" si="379"/>
        <v>0</v>
      </c>
      <c r="CU1533" s="113"/>
      <c r="CV1533" s="114"/>
      <c r="CW1533" s="115">
        <v>211</v>
      </c>
      <c r="CX1533" s="116">
        <f>211*85000</f>
        <v>17935000</v>
      </c>
      <c r="CY1533" s="117"/>
      <c r="CZ1533" s="116"/>
      <c r="DA1533" s="113"/>
      <c r="DB1533" s="114"/>
      <c r="DC1533" s="64"/>
      <c r="DD1533" s="118"/>
    </row>
    <row r="1534" spans="1:108" s="119" customFormat="1" ht="132" outlineLevel="2">
      <c r="A1534" s="178">
        <v>40489</v>
      </c>
      <c r="B1534" s="164" t="s">
        <v>1768</v>
      </c>
      <c r="C1534" s="164" t="s">
        <v>535</v>
      </c>
      <c r="D1534" s="166" t="s">
        <v>1262</v>
      </c>
      <c r="E1534" s="163"/>
      <c r="F1534" s="105"/>
      <c r="G1534" s="105"/>
      <c r="H1534" s="105">
        <f>236*5</f>
        <v>1180</v>
      </c>
      <c r="I1534" s="105">
        <v>236</v>
      </c>
      <c r="J1534" s="105"/>
      <c r="K1534" s="105">
        <v>236</v>
      </c>
      <c r="L1534" s="105"/>
      <c r="M1534" s="105"/>
      <c r="N1534" s="105"/>
      <c r="O1534" s="105"/>
      <c r="P1534" s="105"/>
      <c r="Q1534" s="105"/>
      <c r="R1534" s="105"/>
      <c r="S1534" s="105"/>
      <c r="T1534" s="106"/>
      <c r="U1534" s="130"/>
      <c r="V1534" s="1">
        <v>40498</v>
      </c>
      <c r="W1534" s="68">
        <f t="shared" si="374"/>
        <v>0</v>
      </c>
      <c r="X1534" s="68">
        <f t="shared" si="375"/>
        <v>0</v>
      </c>
      <c r="Y1534" s="68">
        <f t="shared" si="376"/>
        <v>0</v>
      </c>
      <c r="Z1534" s="68">
        <f t="shared" si="377"/>
        <v>0</v>
      </c>
      <c r="AA1534" s="68"/>
      <c r="AB1534" s="68">
        <v>10000000</v>
      </c>
      <c r="AC1534" s="69">
        <f t="shared" si="378"/>
        <v>10000000</v>
      </c>
      <c r="AD1534" s="70">
        <v>42008000</v>
      </c>
      <c r="AE1534" s="63">
        <v>40494</v>
      </c>
      <c r="AF1534" s="72">
        <v>63891</v>
      </c>
      <c r="AG1534" s="63" t="s">
        <v>954</v>
      </c>
      <c r="AH1534" s="23" t="s">
        <v>955</v>
      </c>
      <c r="AI1534" s="60">
        <v>42905</v>
      </c>
      <c r="AJ1534" s="124" t="s">
        <v>47</v>
      </c>
      <c r="AK1534" s="125" t="s">
        <v>99</v>
      </c>
      <c r="AL1534" s="107"/>
      <c r="AM1534" s="108"/>
      <c r="AN1534" s="109"/>
      <c r="AO1534" s="108"/>
      <c r="AP1534" s="108"/>
      <c r="AQ1534" s="108"/>
      <c r="AR1534" s="108"/>
      <c r="AS1534" s="108"/>
      <c r="AT1534" s="108"/>
      <c r="AU1534" s="108"/>
      <c r="AV1534" s="108"/>
      <c r="AW1534" s="108"/>
      <c r="AX1534" s="108"/>
      <c r="AY1534" s="108"/>
      <c r="AZ1534" s="108"/>
      <c r="BA1534" s="108"/>
      <c r="BB1534" s="108"/>
      <c r="BC1534" s="108"/>
      <c r="BD1534" s="108"/>
      <c r="BE1534" s="108"/>
      <c r="BF1534" s="108"/>
      <c r="BG1534" s="108"/>
      <c r="BH1534" s="108"/>
      <c r="BI1534" s="108"/>
      <c r="BJ1534" s="108"/>
      <c r="BK1534" s="108"/>
      <c r="BL1534" s="108"/>
      <c r="BM1534" s="108"/>
      <c r="BN1534" s="108"/>
      <c r="BO1534" s="108"/>
      <c r="BP1534" s="108"/>
      <c r="BQ1534" s="108"/>
      <c r="BR1534" s="108"/>
      <c r="BS1534" s="108"/>
      <c r="BT1534" s="108"/>
      <c r="BU1534" s="108"/>
      <c r="BV1534" s="108"/>
      <c r="BW1534" s="108"/>
      <c r="BX1534" s="108"/>
      <c r="BY1534" s="108"/>
      <c r="BZ1534" s="108"/>
      <c r="CA1534" s="108"/>
      <c r="CB1534" s="108"/>
      <c r="CC1534" s="108"/>
      <c r="CD1534" s="108"/>
      <c r="CE1534" s="108"/>
      <c r="CF1534" s="108"/>
      <c r="CG1534" s="108"/>
      <c r="CH1534" s="108"/>
      <c r="CI1534" s="108"/>
      <c r="CJ1534" s="108"/>
      <c r="CK1534" s="108"/>
      <c r="CL1534" s="108"/>
      <c r="CM1534" s="108"/>
      <c r="CN1534" s="110"/>
      <c r="CO1534" s="111"/>
      <c r="CP1534" s="110"/>
      <c r="CQ1534" s="111"/>
      <c r="CR1534" s="110"/>
      <c r="CS1534" s="111"/>
      <c r="CT1534" s="112">
        <f t="shared" si="379"/>
        <v>0</v>
      </c>
      <c r="CU1534" s="113"/>
      <c r="CV1534" s="114"/>
      <c r="CW1534" s="115"/>
      <c r="CX1534" s="116"/>
      <c r="CY1534" s="117"/>
      <c r="CZ1534" s="116"/>
      <c r="DA1534" s="113"/>
      <c r="DB1534" s="114"/>
      <c r="DC1534" s="64">
        <v>2</v>
      </c>
      <c r="DD1534" s="118"/>
    </row>
    <row r="1535" spans="1:108" s="119" customFormat="1" ht="22.5" outlineLevel="2">
      <c r="A1535" s="178">
        <v>40489</v>
      </c>
      <c r="B1535" s="164" t="s">
        <v>1768</v>
      </c>
      <c r="C1535" s="164" t="s">
        <v>1989</v>
      </c>
      <c r="D1535" s="166" t="s">
        <v>1262</v>
      </c>
      <c r="E1535" s="163"/>
      <c r="F1535" s="105"/>
      <c r="G1535" s="105"/>
      <c r="H1535" s="105">
        <f>70*5</f>
        <v>350</v>
      </c>
      <c r="I1535" s="105">
        <v>70</v>
      </c>
      <c r="J1535" s="105"/>
      <c r="K1535" s="105">
        <v>70</v>
      </c>
      <c r="L1535" s="105"/>
      <c r="M1535" s="105"/>
      <c r="N1535" s="105"/>
      <c r="O1535" s="105"/>
      <c r="P1535" s="105"/>
      <c r="Q1535" s="105"/>
      <c r="R1535" s="105"/>
      <c r="S1535" s="105"/>
      <c r="T1535" s="106"/>
      <c r="U1535" s="130" t="s">
        <v>414</v>
      </c>
      <c r="V1535" s="1"/>
      <c r="W1535" s="68">
        <f t="shared" si="374"/>
        <v>0</v>
      </c>
      <c r="X1535" s="68">
        <f t="shared" si="375"/>
        <v>0</v>
      </c>
      <c r="Y1535" s="68">
        <f t="shared" si="376"/>
        <v>0</v>
      </c>
      <c r="Z1535" s="68">
        <f t="shared" si="377"/>
        <v>0</v>
      </c>
      <c r="AA1535" s="68"/>
      <c r="AB1535" s="68">
        <v>0</v>
      </c>
      <c r="AC1535" s="69">
        <f t="shared" si="378"/>
        <v>0</v>
      </c>
      <c r="AD1535" s="70">
        <v>8900000</v>
      </c>
      <c r="AE1535" s="63">
        <v>40491</v>
      </c>
      <c r="AF1535" s="72"/>
      <c r="AG1535" s="63" t="s">
        <v>954</v>
      </c>
      <c r="AH1535" s="23" t="s">
        <v>955</v>
      </c>
      <c r="AI1535" s="60"/>
      <c r="AJ1535" s="124" t="s">
        <v>1608</v>
      </c>
      <c r="AK1535" s="121" t="s">
        <v>1612</v>
      </c>
      <c r="AL1535" s="107"/>
      <c r="AM1535" s="108"/>
      <c r="AN1535" s="109"/>
      <c r="AO1535" s="108"/>
      <c r="AP1535" s="108"/>
      <c r="AQ1535" s="108"/>
      <c r="AR1535" s="108"/>
      <c r="AS1535" s="108"/>
      <c r="AT1535" s="108"/>
      <c r="AU1535" s="108"/>
      <c r="AV1535" s="108"/>
      <c r="AW1535" s="108"/>
      <c r="AX1535" s="108"/>
      <c r="AY1535" s="108"/>
      <c r="AZ1535" s="108"/>
      <c r="BA1535" s="108"/>
      <c r="BB1535" s="108"/>
      <c r="BC1535" s="108"/>
      <c r="BD1535" s="108"/>
      <c r="BE1535" s="108"/>
      <c r="BF1535" s="108"/>
      <c r="BG1535" s="108"/>
      <c r="BH1535" s="108"/>
      <c r="BI1535" s="108"/>
      <c r="BJ1535" s="108"/>
      <c r="BK1535" s="108"/>
      <c r="BL1535" s="108"/>
      <c r="BM1535" s="108"/>
      <c r="BN1535" s="108"/>
      <c r="BO1535" s="108"/>
      <c r="BP1535" s="108"/>
      <c r="BQ1535" s="108"/>
      <c r="BR1535" s="108"/>
      <c r="BS1535" s="108"/>
      <c r="BT1535" s="108"/>
      <c r="BU1535" s="108"/>
      <c r="BV1535" s="108"/>
      <c r="BW1535" s="108"/>
      <c r="BX1535" s="108"/>
      <c r="BY1535" s="108"/>
      <c r="BZ1535" s="108"/>
      <c r="CA1535" s="108"/>
      <c r="CB1535" s="108"/>
      <c r="CC1535" s="108"/>
      <c r="CD1535" s="108"/>
      <c r="CE1535" s="108"/>
      <c r="CF1535" s="108"/>
      <c r="CG1535" s="108"/>
      <c r="CH1535" s="108"/>
      <c r="CI1535" s="108"/>
      <c r="CJ1535" s="108"/>
      <c r="CK1535" s="108"/>
      <c r="CL1535" s="108"/>
      <c r="CM1535" s="108"/>
      <c r="CN1535" s="110"/>
      <c r="CO1535" s="111"/>
      <c r="CP1535" s="110"/>
      <c r="CQ1535" s="111"/>
      <c r="CR1535" s="110"/>
      <c r="CS1535" s="111"/>
      <c r="CT1535" s="112">
        <f t="shared" si="379"/>
        <v>0</v>
      </c>
      <c r="CU1535" s="113"/>
      <c r="CV1535" s="114"/>
      <c r="CW1535" s="115"/>
      <c r="CX1535" s="116"/>
      <c r="CY1535" s="117"/>
      <c r="CZ1535" s="116"/>
      <c r="DA1535" s="113"/>
      <c r="DB1535" s="114"/>
      <c r="DC1535" s="64"/>
      <c r="DD1535" s="118"/>
    </row>
    <row r="1536" spans="1:108" s="119" customFormat="1" ht="60" outlineLevel="2">
      <c r="A1536" s="178">
        <v>40490</v>
      </c>
      <c r="B1536" s="164" t="s">
        <v>1768</v>
      </c>
      <c r="C1536" s="164" t="s">
        <v>100</v>
      </c>
      <c r="D1536" s="166" t="s">
        <v>1262</v>
      </c>
      <c r="E1536" s="163"/>
      <c r="F1536" s="105"/>
      <c r="G1536" s="105"/>
      <c r="H1536" s="105">
        <f>120*5</f>
        <v>600</v>
      </c>
      <c r="I1536" s="105">
        <v>120</v>
      </c>
      <c r="J1536" s="105"/>
      <c r="K1536" s="105">
        <v>120</v>
      </c>
      <c r="L1536" s="105"/>
      <c r="M1536" s="105"/>
      <c r="N1536" s="105"/>
      <c r="O1536" s="105"/>
      <c r="P1536" s="105"/>
      <c r="Q1536" s="105"/>
      <c r="R1536" s="105"/>
      <c r="S1536" s="105"/>
      <c r="T1536" s="106"/>
      <c r="U1536" s="130"/>
      <c r="V1536" s="1">
        <v>40520</v>
      </c>
      <c r="W1536" s="68">
        <f t="shared" si="374"/>
        <v>0</v>
      </c>
      <c r="X1536" s="68">
        <f t="shared" si="375"/>
        <v>7395000</v>
      </c>
      <c r="Y1536" s="68">
        <f t="shared" si="376"/>
        <v>0</v>
      </c>
      <c r="Z1536" s="68">
        <f t="shared" si="377"/>
        <v>0</v>
      </c>
      <c r="AA1536" s="68"/>
      <c r="AB1536" s="68">
        <v>0</v>
      </c>
      <c r="AC1536" s="69">
        <f t="shared" si="378"/>
        <v>7395000</v>
      </c>
      <c r="AD1536" s="70">
        <f>15486000-7395000</f>
        <v>8091000</v>
      </c>
      <c r="AE1536" s="63">
        <v>40492</v>
      </c>
      <c r="AF1536" s="72"/>
      <c r="AG1536" s="63" t="s">
        <v>954</v>
      </c>
      <c r="AH1536" s="23" t="s">
        <v>955</v>
      </c>
      <c r="AI1536" s="60">
        <v>26384</v>
      </c>
      <c r="AJ1536" s="124" t="s">
        <v>2238</v>
      </c>
      <c r="AK1536" s="121" t="s">
        <v>101</v>
      </c>
      <c r="AL1536" s="107"/>
      <c r="AM1536" s="108"/>
      <c r="AN1536" s="109"/>
      <c r="AO1536" s="108"/>
      <c r="AP1536" s="108"/>
      <c r="AQ1536" s="108"/>
      <c r="AR1536" s="108"/>
      <c r="AS1536" s="108"/>
      <c r="AT1536" s="108"/>
      <c r="AU1536" s="108"/>
      <c r="AV1536" s="108"/>
      <c r="AW1536" s="108"/>
      <c r="AX1536" s="108"/>
      <c r="AY1536" s="108"/>
      <c r="AZ1536" s="108"/>
      <c r="BA1536" s="108"/>
      <c r="BB1536" s="108"/>
      <c r="BC1536" s="108"/>
      <c r="BD1536" s="108"/>
      <c r="BE1536" s="108"/>
      <c r="BF1536" s="108"/>
      <c r="BG1536" s="108"/>
      <c r="BH1536" s="108"/>
      <c r="BI1536" s="108"/>
      <c r="BJ1536" s="108"/>
      <c r="BK1536" s="108"/>
      <c r="BL1536" s="108"/>
      <c r="BM1536" s="108"/>
      <c r="BN1536" s="108"/>
      <c r="BO1536" s="108"/>
      <c r="BP1536" s="108"/>
      <c r="BQ1536" s="108"/>
      <c r="BR1536" s="108"/>
      <c r="BS1536" s="108"/>
      <c r="BT1536" s="108"/>
      <c r="BU1536" s="108"/>
      <c r="BV1536" s="108"/>
      <c r="BW1536" s="108"/>
      <c r="BX1536" s="108"/>
      <c r="BY1536" s="108"/>
      <c r="BZ1536" s="108"/>
      <c r="CA1536" s="108"/>
      <c r="CB1536" s="108"/>
      <c r="CC1536" s="108"/>
      <c r="CD1536" s="108"/>
      <c r="CE1536" s="108"/>
      <c r="CF1536" s="108"/>
      <c r="CG1536" s="108"/>
      <c r="CH1536" s="108"/>
      <c r="CI1536" s="108"/>
      <c r="CJ1536" s="108"/>
      <c r="CK1536" s="108"/>
      <c r="CL1536" s="108"/>
      <c r="CM1536" s="108"/>
      <c r="CN1536" s="110"/>
      <c r="CO1536" s="111"/>
      <c r="CP1536" s="110"/>
      <c r="CQ1536" s="111"/>
      <c r="CR1536" s="110"/>
      <c r="CS1536" s="111"/>
      <c r="CT1536" s="112">
        <f t="shared" si="379"/>
        <v>0</v>
      </c>
      <c r="CU1536" s="113"/>
      <c r="CV1536" s="114"/>
      <c r="CW1536" s="115">
        <v>87</v>
      </c>
      <c r="CX1536" s="116">
        <f>87*85000</f>
        <v>7395000</v>
      </c>
      <c r="CY1536" s="117"/>
      <c r="CZ1536" s="116"/>
      <c r="DA1536" s="113"/>
      <c r="DB1536" s="114"/>
      <c r="DC1536" s="64"/>
      <c r="DD1536" s="118"/>
    </row>
    <row r="1537" spans="1:108" s="119" customFormat="1" ht="24" outlineLevel="2">
      <c r="A1537" s="178">
        <v>40490</v>
      </c>
      <c r="B1537" s="164" t="s">
        <v>1768</v>
      </c>
      <c r="C1537" s="164" t="s">
        <v>1611</v>
      </c>
      <c r="D1537" s="166" t="s">
        <v>1262</v>
      </c>
      <c r="E1537" s="163">
        <v>1</v>
      </c>
      <c r="F1537" s="105"/>
      <c r="G1537" s="105"/>
      <c r="H1537" s="105">
        <f>500*5</f>
        <v>2500</v>
      </c>
      <c r="I1537" s="105">
        <v>500</v>
      </c>
      <c r="J1537" s="105"/>
      <c r="K1537" s="105">
        <v>500</v>
      </c>
      <c r="L1537" s="105"/>
      <c r="M1537" s="105"/>
      <c r="N1537" s="105"/>
      <c r="O1537" s="105"/>
      <c r="P1537" s="105"/>
      <c r="Q1537" s="105"/>
      <c r="R1537" s="105"/>
      <c r="S1537" s="105"/>
      <c r="T1537" s="106"/>
      <c r="U1537" s="130"/>
      <c r="V1537" s="1"/>
      <c r="W1537" s="68">
        <f t="shared" si="374"/>
        <v>0</v>
      </c>
      <c r="X1537" s="68">
        <f t="shared" si="375"/>
        <v>0</v>
      </c>
      <c r="Y1537" s="68">
        <f t="shared" si="376"/>
        <v>0</v>
      </c>
      <c r="Z1537" s="68">
        <f t="shared" si="377"/>
        <v>0</v>
      </c>
      <c r="AA1537" s="68"/>
      <c r="AB1537" s="68">
        <v>0</v>
      </c>
      <c r="AC1537" s="69">
        <f t="shared" si="378"/>
        <v>0</v>
      </c>
      <c r="AD1537" s="70">
        <v>0</v>
      </c>
      <c r="AE1537" s="63">
        <v>40492</v>
      </c>
      <c r="AF1537" s="72"/>
      <c r="AG1537" s="63" t="s">
        <v>938</v>
      </c>
      <c r="AH1537" s="23" t="s">
        <v>939</v>
      </c>
      <c r="AI1537" s="60"/>
      <c r="AJ1537" s="124" t="s">
        <v>1608</v>
      </c>
      <c r="AK1537" s="121" t="s">
        <v>502</v>
      </c>
      <c r="AL1537" s="107"/>
      <c r="AM1537" s="108"/>
      <c r="AN1537" s="109"/>
      <c r="AO1537" s="108"/>
      <c r="AP1537" s="108"/>
      <c r="AQ1537" s="108"/>
      <c r="AR1537" s="108"/>
      <c r="AS1537" s="108"/>
      <c r="AT1537" s="108"/>
      <c r="AU1537" s="108"/>
      <c r="AV1537" s="108"/>
      <c r="AW1537" s="108"/>
      <c r="AX1537" s="108"/>
      <c r="AY1537" s="108"/>
      <c r="AZ1537" s="108"/>
      <c r="BA1537" s="108"/>
      <c r="BB1537" s="108"/>
      <c r="BC1537" s="108"/>
      <c r="BD1537" s="108"/>
      <c r="BE1537" s="108"/>
      <c r="BF1537" s="108"/>
      <c r="BG1537" s="108"/>
      <c r="BH1537" s="108"/>
      <c r="BI1537" s="108"/>
      <c r="BJ1537" s="108"/>
      <c r="BK1537" s="108"/>
      <c r="BL1537" s="108"/>
      <c r="BM1537" s="108"/>
      <c r="BN1537" s="108"/>
      <c r="BO1537" s="108"/>
      <c r="BP1537" s="108"/>
      <c r="BQ1537" s="108"/>
      <c r="BR1537" s="108"/>
      <c r="BS1537" s="108"/>
      <c r="BT1537" s="108"/>
      <c r="BU1537" s="108"/>
      <c r="BV1537" s="108"/>
      <c r="BW1537" s="108"/>
      <c r="BX1537" s="108"/>
      <c r="BY1537" s="108"/>
      <c r="BZ1537" s="108"/>
      <c r="CA1537" s="108"/>
      <c r="CB1537" s="108"/>
      <c r="CC1537" s="108"/>
      <c r="CD1537" s="108"/>
      <c r="CE1537" s="108"/>
      <c r="CF1537" s="108"/>
      <c r="CG1537" s="108"/>
      <c r="CH1537" s="108"/>
      <c r="CI1537" s="108"/>
      <c r="CJ1537" s="108"/>
      <c r="CK1537" s="108"/>
      <c r="CL1537" s="108"/>
      <c r="CM1537" s="108"/>
      <c r="CN1537" s="110"/>
      <c r="CO1537" s="111"/>
      <c r="CP1537" s="110"/>
      <c r="CQ1537" s="111"/>
      <c r="CR1537" s="110"/>
      <c r="CS1537" s="111"/>
      <c r="CT1537" s="112">
        <f t="shared" si="379"/>
        <v>0</v>
      </c>
      <c r="CU1537" s="113"/>
      <c r="CV1537" s="114"/>
      <c r="CW1537" s="115"/>
      <c r="CX1537" s="116"/>
      <c r="CY1537" s="117"/>
      <c r="CZ1537" s="116"/>
      <c r="DA1537" s="113"/>
      <c r="DB1537" s="114"/>
      <c r="DC1537" s="64"/>
      <c r="DD1537" s="118"/>
    </row>
    <row r="1538" spans="1:108" s="119" customFormat="1" ht="72" outlineLevel="2">
      <c r="A1538" s="178">
        <v>40492</v>
      </c>
      <c r="B1538" s="164" t="s">
        <v>1768</v>
      </c>
      <c r="C1538" s="164" t="s">
        <v>930</v>
      </c>
      <c r="D1538" s="166" t="s">
        <v>1262</v>
      </c>
      <c r="E1538" s="163"/>
      <c r="F1538" s="105"/>
      <c r="G1538" s="105"/>
      <c r="H1538" s="105">
        <f>500*5</f>
        <v>2500</v>
      </c>
      <c r="I1538" s="105">
        <v>500</v>
      </c>
      <c r="J1538" s="105"/>
      <c r="K1538" s="105">
        <v>500</v>
      </c>
      <c r="L1538" s="105"/>
      <c r="M1538" s="105"/>
      <c r="N1538" s="105"/>
      <c r="O1538" s="105"/>
      <c r="P1538" s="105"/>
      <c r="Q1538" s="105"/>
      <c r="R1538" s="105"/>
      <c r="S1538" s="105"/>
      <c r="T1538" s="106"/>
      <c r="U1538" s="130" t="s">
        <v>588</v>
      </c>
      <c r="V1538" s="1">
        <v>40520</v>
      </c>
      <c r="W1538" s="68">
        <f t="shared" si="374"/>
        <v>0</v>
      </c>
      <c r="X1538" s="68">
        <f t="shared" si="375"/>
        <v>42500000</v>
      </c>
      <c r="Y1538" s="68">
        <f t="shared" si="376"/>
        <v>0</v>
      </c>
      <c r="Z1538" s="68">
        <f t="shared" si="377"/>
        <v>0</v>
      </c>
      <c r="AA1538" s="68"/>
      <c r="AB1538" s="68">
        <v>0</v>
      </c>
      <c r="AC1538" s="69">
        <f t="shared" si="378"/>
        <v>42500000</v>
      </c>
      <c r="AD1538" s="70">
        <f>89000000-42500000</f>
        <v>46500000</v>
      </c>
      <c r="AE1538" s="63">
        <v>40494</v>
      </c>
      <c r="AF1538" s="72"/>
      <c r="AG1538" s="63" t="s">
        <v>954</v>
      </c>
      <c r="AH1538" s="23" t="s">
        <v>955</v>
      </c>
      <c r="AI1538" s="60">
        <v>26384</v>
      </c>
      <c r="AJ1538" s="133" t="s">
        <v>415</v>
      </c>
      <c r="AK1538" s="121" t="s">
        <v>587</v>
      </c>
      <c r="AL1538" s="107"/>
      <c r="AM1538" s="108"/>
      <c r="AN1538" s="109"/>
      <c r="AO1538" s="108"/>
      <c r="AP1538" s="108"/>
      <c r="AQ1538" s="108"/>
      <c r="AR1538" s="108"/>
      <c r="AS1538" s="108"/>
      <c r="AT1538" s="108"/>
      <c r="AU1538" s="108"/>
      <c r="AV1538" s="108"/>
      <c r="AW1538" s="108"/>
      <c r="AX1538" s="108"/>
      <c r="AY1538" s="108"/>
      <c r="AZ1538" s="108"/>
      <c r="BA1538" s="108"/>
      <c r="BB1538" s="108"/>
      <c r="BC1538" s="108"/>
      <c r="BD1538" s="108"/>
      <c r="BE1538" s="108"/>
      <c r="BF1538" s="108"/>
      <c r="BG1538" s="108"/>
      <c r="BH1538" s="108"/>
      <c r="BI1538" s="108"/>
      <c r="BJ1538" s="108"/>
      <c r="BK1538" s="108"/>
      <c r="BL1538" s="108"/>
      <c r="BM1538" s="108"/>
      <c r="BN1538" s="108"/>
      <c r="BO1538" s="108"/>
      <c r="BP1538" s="108"/>
      <c r="BQ1538" s="108"/>
      <c r="BR1538" s="108"/>
      <c r="BS1538" s="108"/>
      <c r="BT1538" s="108"/>
      <c r="BU1538" s="108"/>
      <c r="BV1538" s="108"/>
      <c r="BW1538" s="108"/>
      <c r="BX1538" s="108"/>
      <c r="BY1538" s="108"/>
      <c r="BZ1538" s="108"/>
      <c r="CA1538" s="108"/>
      <c r="CB1538" s="108"/>
      <c r="CC1538" s="108"/>
      <c r="CD1538" s="108"/>
      <c r="CE1538" s="108"/>
      <c r="CF1538" s="108"/>
      <c r="CG1538" s="108"/>
      <c r="CH1538" s="108"/>
      <c r="CI1538" s="108"/>
      <c r="CJ1538" s="108"/>
      <c r="CK1538" s="108"/>
      <c r="CL1538" s="108"/>
      <c r="CM1538" s="108"/>
      <c r="CN1538" s="110"/>
      <c r="CO1538" s="111"/>
      <c r="CP1538" s="110"/>
      <c r="CQ1538" s="111"/>
      <c r="CR1538" s="110"/>
      <c r="CS1538" s="111"/>
      <c r="CT1538" s="112">
        <f t="shared" si="379"/>
        <v>0</v>
      </c>
      <c r="CU1538" s="113"/>
      <c r="CV1538" s="114"/>
      <c r="CW1538" s="115">
        <v>500</v>
      </c>
      <c r="CX1538" s="116">
        <f>500*85000</f>
        <v>42500000</v>
      </c>
      <c r="CY1538" s="117"/>
      <c r="CZ1538" s="116"/>
      <c r="DA1538" s="113"/>
      <c r="DB1538" s="114"/>
      <c r="DC1538" s="64"/>
      <c r="DD1538" s="118"/>
    </row>
    <row r="1539" spans="1:108" s="119" customFormat="1" ht="24" outlineLevel="2">
      <c r="A1539" s="178">
        <v>40492</v>
      </c>
      <c r="B1539" s="164" t="s">
        <v>1768</v>
      </c>
      <c r="C1539" s="164" t="s">
        <v>203</v>
      </c>
      <c r="D1539" s="166" t="s">
        <v>1262</v>
      </c>
      <c r="E1539" s="163"/>
      <c r="F1539" s="105"/>
      <c r="G1539" s="105"/>
      <c r="H1539" s="105">
        <f>492*5</f>
        <v>2460</v>
      </c>
      <c r="I1539" s="131">
        <v>492</v>
      </c>
      <c r="J1539" s="105"/>
      <c r="K1539" s="105">
        <v>492</v>
      </c>
      <c r="L1539" s="105"/>
      <c r="M1539" s="105"/>
      <c r="N1539" s="105"/>
      <c r="O1539" s="105"/>
      <c r="P1539" s="105"/>
      <c r="Q1539" s="105"/>
      <c r="R1539" s="105"/>
      <c r="S1539" s="105"/>
      <c r="T1539" s="106"/>
      <c r="U1539" s="130"/>
      <c r="V1539" s="1">
        <v>40520</v>
      </c>
      <c r="W1539" s="68">
        <f t="shared" si="374"/>
        <v>0</v>
      </c>
      <c r="X1539" s="68">
        <f t="shared" si="375"/>
        <v>41820000</v>
      </c>
      <c r="Y1539" s="68">
        <f t="shared" si="376"/>
        <v>0</v>
      </c>
      <c r="Z1539" s="68">
        <f t="shared" si="377"/>
        <v>0</v>
      </c>
      <c r="AA1539" s="68"/>
      <c r="AB1539" s="68">
        <v>0</v>
      </c>
      <c r="AC1539" s="69">
        <f t="shared" si="378"/>
        <v>41820000</v>
      </c>
      <c r="AD1539" s="70">
        <f>87576000-41820000</f>
        <v>45756000</v>
      </c>
      <c r="AE1539" s="63">
        <v>40494</v>
      </c>
      <c r="AF1539" s="72"/>
      <c r="AG1539" s="63" t="s">
        <v>954</v>
      </c>
      <c r="AH1539" s="23" t="s">
        <v>955</v>
      </c>
      <c r="AI1539" s="60">
        <v>26384</v>
      </c>
      <c r="AJ1539" s="124" t="s">
        <v>1476</v>
      </c>
      <c r="AK1539" s="121" t="s">
        <v>609</v>
      </c>
      <c r="AL1539" s="107"/>
      <c r="AM1539" s="108"/>
      <c r="AN1539" s="109"/>
      <c r="AO1539" s="108"/>
      <c r="AP1539" s="108"/>
      <c r="AQ1539" s="108"/>
      <c r="AR1539" s="108"/>
      <c r="AS1539" s="108"/>
      <c r="AT1539" s="108"/>
      <c r="AU1539" s="108"/>
      <c r="AV1539" s="108"/>
      <c r="AW1539" s="108"/>
      <c r="AX1539" s="108"/>
      <c r="AY1539" s="108"/>
      <c r="AZ1539" s="108"/>
      <c r="BA1539" s="108"/>
      <c r="BB1539" s="108"/>
      <c r="BC1539" s="108"/>
      <c r="BD1539" s="108"/>
      <c r="BE1539" s="108"/>
      <c r="BF1539" s="108"/>
      <c r="BG1539" s="108"/>
      <c r="BH1539" s="108"/>
      <c r="BI1539" s="108"/>
      <c r="BJ1539" s="108"/>
      <c r="BK1539" s="108"/>
      <c r="BL1539" s="108"/>
      <c r="BM1539" s="108"/>
      <c r="BN1539" s="108"/>
      <c r="BO1539" s="108"/>
      <c r="BP1539" s="108"/>
      <c r="BQ1539" s="108"/>
      <c r="BR1539" s="108"/>
      <c r="BS1539" s="108"/>
      <c r="BT1539" s="108"/>
      <c r="BU1539" s="108"/>
      <c r="BV1539" s="108"/>
      <c r="BW1539" s="108"/>
      <c r="BX1539" s="108"/>
      <c r="BY1539" s="108"/>
      <c r="BZ1539" s="108"/>
      <c r="CA1539" s="108"/>
      <c r="CB1539" s="108"/>
      <c r="CC1539" s="108"/>
      <c r="CD1539" s="108"/>
      <c r="CE1539" s="108"/>
      <c r="CF1539" s="108"/>
      <c r="CG1539" s="108"/>
      <c r="CH1539" s="108"/>
      <c r="CI1539" s="108"/>
      <c r="CJ1539" s="108"/>
      <c r="CK1539" s="108"/>
      <c r="CL1539" s="108"/>
      <c r="CM1539" s="108"/>
      <c r="CN1539" s="110"/>
      <c r="CO1539" s="111"/>
      <c r="CP1539" s="110"/>
      <c r="CQ1539" s="111"/>
      <c r="CR1539" s="110"/>
      <c r="CS1539" s="111"/>
      <c r="CT1539" s="112">
        <f t="shared" si="379"/>
        <v>0</v>
      </c>
      <c r="CU1539" s="113"/>
      <c r="CV1539" s="114"/>
      <c r="CW1539" s="115">
        <v>492</v>
      </c>
      <c r="CX1539" s="116">
        <f>492*85000</f>
        <v>41820000</v>
      </c>
      <c r="CY1539" s="117"/>
      <c r="CZ1539" s="116"/>
      <c r="DA1539" s="113"/>
      <c r="DB1539" s="114"/>
      <c r="DC1539" s="64"/>
      <c r="DD1539" s="118"/>
    </row>
    <row r="1540" spans="1:108" s="119" customFormat="1" ht="22.5" outlineLevel="2">
      <c r="A1540" s="178">
        <v>40492</v>
      </c>
      <c r="B1540" s="164" t="s">
        <v>1768</v>
      </c>
      <c r="C1540" s="164" t="s">
        <v>1846</v>
      </c>
      <c r="D1540" s="165" t="s">
        <v>1182</v>
      </c>
      <c r="E1540" s="163"/>
      <c r="F1540" s="105"/>
      <c r="G1540" s="105"/>
      <c r="H1540" s="105">
        <v>585</v>
      </c>
      <c r="I1540" s="105">
        <v>117</v>
      </c>
      <c r="J1540" s="105"/>
      <c r="K1540" s="105">
        <v>117</v>
      </c>
      <c r="L1540" s="105"/>
      <c r="M1540" s="105"/>
      <c r="N1540" s="105"/>
      <c r="O1540" s="105"/>
      <c r="P1540" s="105"/>
      <c r="Q1540" s="105"/>
      <c r="R1540" s="105"/>
      <c r="S1540" s="105"/>
      <c r="T1540" s="106"/>
      <c r="U1540" s="130"/>
      <c r="V1540" s="1"/>
      <c r="W1540" s="68">
        <f t="shared" si="374"/>
        <v>0</v>
      </c>
      <c r="X1540" s="68">
        <f t="shared" si="375"/>
        <v>0</v>
      </c>
      <c r="Y1540" s="68">
        <f t="shared" si="376"/>
        <v>0</v>
      </c>
      <c r="Z1540" s="68">
        <f t="shared" si="377"/>
        <v>0</v>
      </c>
      <c r="AA1540" s="68"/>
      <c r="AB1540" s="68">
        <v>0</v>
      </c>
      <c r="AC1540" s="69">
        <f t="shared" si="378"/>
        <v>0</v>
      </c>
      <c r="AD1540" s="70">
        <v>0</v>
      </c>
      <c r="AE1540" s="63">
        <v>40494</v>
      </c>
      <c r="AF1540" s="72"/>
      <c r="AG1540" s="63" t="s">
        <v>938</v>
      </c>
      <c r="AH1540" s="23" t="s">
        <v>939</v>
      </c>
      <c r="AI1540" s="60"/>
      <c r="AJ1540" s="124" t="s">
        <v>1608</v>
      </c>
      <c r="AK1540" s="121" t="s">
        <v>1612</v>
      </c>
      <c r="AL1540" s="107"/>
      <c r="AM1540" s="108"/>
      <c r="AN1540" s="109"/>
      <c r="AO1540" s="108"/>
      <c r="AP1540" s="108"/>
      <c r="AQ1540" s="108"/>
      <c r="AR1540" s="108"/>
      <c r="AS1540" s="108"/>
      <c r="AT1540" s="108"/>
      <c r="AU1540" s="108"/>
      <c r="AV1540" s="108"/>
      <c r="AW1540" s="108"/>
      <c r="AX1540" s="108"/>
      <c r="AY1540" s="108"/>
      <c r="AZ1540" s="108"/>
      <c r="BA1540" s="108"/>
      <c r="BB1540" s="108"/>
      <c r="BC1540" s="108"/>
      <c r="BD1540" s="108"/>
      <c r="BE1540" s="108"/>
      <c r="BF1540" s="108"/>
      <c r="BG1540" s="108"/>
      <c r="BH1540" s="108"/>
      <c r="BI1540" s="108"/>
      <c r="BJ1540" s="108"/>
      <c r="BK1540" s="108"/>
      <c r="BL1540" s="108"/>
      <c r="BM1540" s="108"/>
      <c r="BN1540" s="108"/>
      <c r="BO1540" s="108"/>
      <c r="BP1540" s="108"/>
      <c r="BQ1540" s="108"/>
      <c r="BR1540" s="108"/>
      <c r="BS1540" s="108"/>
      <c r="BT1540" s="108"/>
      <c r="BU1540" s="108"/>
      <c r="BV1540" s="108"/>
      <c r="BW1540" s="108"/>
      <c r="BX1540" s="108"/>
      <c r="BY1540" s="108"/>
      <c r="BZ1540" s="108"/>
      <c r="CA1540" s="108"/>
      <c r="CB1540" s="108"/>
      <c r="CC1540" s="108"/>
      <c r="CD1540" s="108"/>
      <c r="CE1540" s="108"/>
      <c r="CF1540" s="108"/>
      <c r="CG1540" s="108"/>
      <c r="CH1540" s="108"/>
      <c r="CI1540" s="108"/>
      <c r="CJ1540" s="108"/>
      <c r="CK1540" s="108"/>
      <c r="CL1540" s="108"/>
      <c r="CM1540" s="108"/>
      <c r="CN1540" s="110"/>
      <c r="CO1540" s="111"/>
      <c r="CP1540" s="110"/>
      <c r="CQ1540" s="111"/>
      <c r="CR1540" s="110"/>
      <c r="CS1540" s="111"/>
      <c r="CT1540" s="112">
        <f t="shared" si="379"/>
        <v>0</v>
      </c>
      <c r="CU1540" s="113"/>
      <c r="CV1540" s="114"/>
      <c r="CW1540" s="115"/>
      <c r="CX1540" s="116"/>
      <c r="CY1540" s="117"/>
      <c r="CZ1540" s="116"/>
      <c r="DA1540" s="113"/>
      <c r="DB1540" s="114"/>
      <c r="DC1540" s="64"/>
      <c r="DD1540" s="118"/>
    </row>
    <row r="1541" spans="1:108" s="119" customFormat="1" ht="60" outlineLevel="2">
      <c r="A1541" s="178">
        <v>40493</v>
      </c>
      <c r="B1541" s="164" t="s">
        <v>1768</v>
      </c>
      <c r="C1541" s="164" t="s">
        <v>1532</v>
      </c>
      <c r="D1541" s="166" t="s">
        <v>1262</v>
      </c>
      <c r="E1541" s="163"/>
      <c r="F1541" s="105"/>
      <c r="G1541" s="105"/>
      <c r="H1541" s="105">
        <v>1619</v>
      </c>
      <c r="I1541" s="105">
        <v>285</v>
      </c>
      <c r="J1541" s="105"/>
      <c r="K1541" s="105">
        <v>285</v>
      </c>
      <c r="L1541" s="105"/>
      <c r="M1541" s="105"/>
      <c r="N1541" s="105"/>
      <c r="O1541" s="105"/>
      <c r="P1541" s="105"/>
      <c r="Q1541" s="105"/>
      <c r="R1541" s="105"/>
      <c r="S1541" s="105"/>
      <c r="T1541" s="106"/>
      <c r="U1541" s="130"/>
      <c r="V1541" s="1"/>
      <c r="W1541" s="68">
        <f t="shared" ref="W1541:W1572" si="380">CT1541</f>
        <v>0</v>
      </c>
      <c r="X1541" s="68">
        <f t="shared" ref="X1541:X1572" si="381">CX1541</f>
        <v>0</v>
      </c>
      <c r="Y1541" s="68">
        <f t="shared" ref="Y1541:Y1572" si="382">CZ1541+DB1541</f>
        <v>0</v>
      </c>
      <c r="Z1541" s="68">
        <f t="shared" ref="Z1541:Z1572" si="383">CV1541</f>
        <v>0</v>
      </c>
      <c r="AA1541" s="68"/>
      <c r="AB1541" s="68">
        <v>0</v>
      </c>
      <c r="AC1541" s="69">
        <f t="shared" ref="AC1541:AC1572" si="384">W1541+X1541+Y1541+Z1541+AA1541+AB1541</f>
        <v>0</v>
      </c>
      <c r="AD1541" s="70">
        <v>0</v>
      </c>
      <c r="AE1541" s="63">
        <v>40497</v>
      </c>
      <c r="AF1541" s="72"/>
      <c r="AG1541" s="63" t="s">
        <v>938</v>
      </c>
      <c r="AH1541" s="23" t="s">
        <v>939</v>
      </c>
      <c r="AI1541" s="60"/>
      <c r="AJ1541" s="124" t="s">
        <v>1608</v>
      </c>
      <c r="AK1541" s="121" t="s">
        <v>13</v>
      </c>
      <c r="AL1541" s="107"/>
      <c r="AM1541" s="108"/>
      <c r="AN1541" s="109"/>
      <c r="AO1541" s="108"/>
      <c r="AP1541" s="108"/>
      <c r="AQ1541" s="108"/>
      <c r="AR1541" s="108"/>
      <c r="AS1541" s="108"/>
      <c r="AT1541" s="108"/>
      <c r="AU1541" s="108"/>
      <c r="AV1541" s="108"/>
      <c r="AW1541" s="108"/>
      <c r="AX1541" s="108"/>
      <c r="AY1541" s="108"/>
      <c r="AZ1541" s="108"/>
      <c r="BA1541" s="108"/>
      <c r="BB1541" s="108"/>
      <c r="BC1541" s="108"/>
      <c r="BD1541" s="108"/>
      <c r="BE1541" s="108"/>
      <c r="BF1541" s="108"/>
      <c r="BG1541" s="108"/>
      <c r="BH1541" s="108"/>
      <c r="BI1541" s="108"/>
      <c r="BJ1541" s="108"/>
      <c r="BK1541" s="108"/>
      <c r="BL1541" s="108"/>
      <c r="BM1541" s="108"/>
      <c r="BN1541" s="108"/>
      <c r="BO1541" s="108"/>
      <c r="BP1541" s="108"/>
      <c r="BQ1541" s="108"/>
      <c r="BR1541" s="108"/>
      <c r="BS1541" s="108"/>
      <c r="BT1541" s="108"/>
      <c r="BU1541" s="108"/>
      <c r="BV1541" s="108"/>
      <c r="BW1541" s="108"/>
      <c r="BX1541" s="108"/>
      <c r="BY1541" s="108"/>
      <c r="BZ1541" s="108"/>
      <c r="CA1541" s="108"/>
      <c r="CB1541" s="108"/>
      <c r="CC1541" s="108"/>
      <c r="CD1541" s="108"/>
      <c r="CE1541" s="108"/>
      <c r="CF1541" s="108"/>
      <c r="CG1541" s="108"/>
      <c r="CH1541" s="108"/>
      <c r="CI1541" s="108"/>
      <c r="CJ1541" s="108"/>
      <c r="CK1541" s="108"/>
      <c r="CL1541" s="108"/>
      <c r="CM1541" s="108"/>
      <c r="CN1541" s="110"/>
      <c r="CO1541" s="111"/>
      <c r="CP1541" s="110"/>
      <c r="CQ1541" s="111"/>
      <c r="CR1541" s="110"/>
      <c r="CS1541" s="111"/>
      <c r="CT1541" s="112">
        <f t="shared" ref="CT1541:CT1572" si="385">AM1541+AO1541+AQ1541+AS1541+AU1541+AW1541+AY1541+BA1541+BC1541+BE1541+BG1541+BI1541+BK1541+BM1541+BO1541+BQ1541+BS1541+BU1541+BW1541+BY1541+CA1541+CC1541+CE1541+CG1541+CI1541+CK1541+CM1541+CO1541+CQ1541+CS1541</f>
        <v>0</v>
      </c>
      <c r="CU1541" s="113"/>
      <c r="CV1541" s="114"/>
      <c r="CW1541" s="115"/>
      <c r="CX1541" s="116"/>
      <c r="CY1541" s="117"/>
      <c r="CZ1541" s="116"/>
      <c r="DA1541" s="113"/>
      <c r="DB1541" s="114"/>
      <c r="DC1541" s="64"/>
      <c r="DD1541" s="118"/>
    </row>
    <row r="1542" spans="1:108" s="119" customFormat="1" ht="48" outlineLevel="2">
      <c r="A1542" s="178">
        <v>40493</v>
      </c>
      <c r="B1542" s="164" t="s">
        <v>1768</v>
      </c>
      <c r="C1542" s="164" t="s">
        <v>972</v>
      </c>
      <c r="D1542" s="166" t="s">
        <v>1262</v>
      </c>
      <c r="E1542" s="163"/>
      <c r="F1542" s="105"/>
      <c r="G1542" s="105"/>
      <c r="H1542" s="105">
        <f>842*5</f>
        <v>4210</v>
      </c>
      <c r="I1542" s="105">
        <f>880-32-6</f>
        <v>842</v>
      </c>
      <c r="J1542" s="105"/>
      <c r="K1542" s="105">
        <v>842</v>
      </c>
      <c r="L1542" s="105"/>
      <c r="M1542" s="105"/>
      <c r="N1542" s="105"/>
      <c r="O1542" s="105">
        <v>1</v>
      </c>
      <c r="P1542" s="105"/>
      <c r="Q1542" s="105"/>
      <c r="R1542" s="105"/>
      <c r="S1542" s="105"/>
      <c r="T1542" s="106"/>
      <c r="U1542" s="130"/>
      <c r="V1542" s="1"/>
      <c r="W1542" s="68">
        <f t="shared" si="380"/>
        <v>0</v>
      </c>
      <c r="X1542" s="68">
        <f t="shared" si="381"/>
        <v>0</v>
      </c>
      <c r="Y1542" s="68">
        <f t="shared" si="382"/>
        <v>0</v>
      </c>
      <c r="Z1542" s="68">
        <f t="shared" si="383"/>
        <v>0</v>
      </c>
      <c r="AA1542" s="68"/>
      <c r="AB1542" s="68">
        <v>0</v>
      </c>
      <c r="AC1542" s="69">
        <f t="shared" si="384"/>
        <v>0</v>
      </c>
      <c r="AD1542" s="70">
        <v>0</v>
      </c>
      <c r="AE1542" s="63">
        <v>40494</v>
      </c>
      <c r="AF1542" s="72"/>
      <c r="AG1542" s="63" t="s">
        <v>938</v>
      </c>
      <c r="AH1542" s="23" t="s">
        <v>939</v>
      </c>
      <c r="AI1542" s="60"/>
      <c r="AJ1542" s="124" t="s">
        <v>1608</v>
      </c>
      <c r="AK1542" s="121" t="s">
        <v>14</v>
      </c>
      <c r="AL1542" s="107"/>
      <c r="AM1542" s="108"/>
      <c r="AN1542" s="109"/>
      <c r="AO1542" s="108"/>
      <c r="AP1542" s="108"/>
      <c r="AQ1542" s="108"/>
      <c r="AR1542" s="108"/>
      <c r="AS1542" s="108"/>
      <c r="AT1542" s="108"/>
      <c r="AU1542" s="108"/>
      <c r="AV1542" s="108"/>
      <c r="AW1542" s="108"/>
      <c r="AX1542" s="108"/>
      <c r="AY1542" s="108"/>
      <c r="AZ1542" s="108"/>
      <c r="BA1542" s="108"/>
      <c r="BB1542" s="108"/>
      <c r="BC1542" s="108"/>
      <c r="BD1542" s="108"/>
      <c r="BE1542" s="108"/>
      <c r="BF1542" s="108"/>
      <c r="BG1542" s="108"/>
      <c r="BH1542" s="108"/>
      <c r="BI1542" s="108"/>
      <c r="BJ1542" s="108"/>
      <c r="BK1542" s="108"/>
      <c r="BL1542" s="108"/>
      <c r="BM1542" s="108"/>
      <c r="BN1542" s="108"/>
      <c r="BO1542" s="108"/>
      <c r="BP1542" s="108"/>
      <c r="BQ1542" s="108"/>
      <c r="BR1542" s="108"/>
      <c r="BS1542" s="108"/>
      <c r="BT1542" s="108"/>
      <c r="BU1542" s="108"/>
      <c r="BV1542" s="108"/>
      <c r="BW1542" s="108"/>
      <c r="BX1542" s="108"/>
      <c r="BY1542" s="108"/>
      <c r="BZ1542" s="108"/>
      <c r="CA1542" s="108"/>
      <c r="CB1542" s="108"/>
      <c r="CC1542" s="108"/>
      <c r="CD1542" s="108"/>
      <c r="CE1542" s="108"/>
      <c r="CF1542" s="108"/>
      <c r="CG1542" s="108"/>
      <c r="CH1542" s="108"/>
      <c r="CI1542" s="108"/>
      <c r="CJ1542" s="108"/>
      <c r="CK1542" s="108"/>
      <c r="CL1542" s="108"/>
      <c r="CM1542" s="108"/>
      <c r="CN1542" s="110"/>
      <c r="CO1542" s="111"/>
      <c r="CP1542" s="110"/>
      <c r="CQ1542" s="111"/>
      <c r="CR1542" s="110"/>
      <c r="CS1542" s="111"/>
      <c r="CT1542" s="112">
        <f t="shared" si="385"/>
        <v>0</v>
      </c>
      <c r="CU1542" s="113"/>
      <c r="CV1542" s="114"/>
      <c r="CW1542" s="115"/>
      <c r="CX1542" s="116"/>
      <c r="CY1542" s="117"/>
      <c r="CZ1542" s="116"/>
      <c r="DA1542" s="113"/>
      <c r="DB1542" s="114"/>
      <c r="DC1542" s="64"/>
      <c r="DD1542" s="118"/>
    </row>
    <row r="1543" spans="1:108" s="119" customFormat="1" ht="72" outlineLevel="2">
      <c r="A1543" s="178">
        <v>40493</v>
      </c>
      <c r="B1543" s="164" t="s">
        <v>1768</v>
      </c>
      <c r="C1543" s="164" t="s">
        <v>1209</v>
      </c>
      <c r="D1543" s="166" t="s">
        <v>1262</v>
      </c>
      <c r="E1543" s="163"/>
      <c r="F1543" s="105"/>
      <c r="G1543" s="105"/>
      <c r="H1543" s="105">
        <v>2500</v>
      </c>
      <c r="I1543" s="105">
        <v>500</v>
      </c>
      <c r="J1543" s="105"/>
      <c r="K1543" s="105">
        <v>500</v>
      </c>
      <c r="L1543" s="105"/>
      <c r="M1543" s="105"/>
      <c r="N1543" s="105"/>
      <c r="O1543" s="105"/>
      <c r="P1543" s="105"/>
      <c r="Q1543" s="105"/>
      <c r="R1543" s="105"/>
      <c r="S1543" s="105"/>
      <c r="T1543" s="106"/>
      <c r="U1543" s="130"/>
      <c r="V1543" s="1"/>
      <c r="W1543" s="68">
        <f t="shared" si="380"/>
        <v>0</v>
      </c>
      <c r="X1543" s="68">
        <f t="shared" si="381"/>
        <v>0</v>
      </c>
      <c r="Y1543" s="68">
        <f t="shared" si="382"/>
        <v>0</v>
      </c>
      <c r="Z1543" s="68">
        <f t="shared" si="383"/>
        <v>0</v>
      </c>
      <c r="AA1543" s="68"/>
      <c r="AB1543" s="68">
        <v>0</v>
      </c>
      <c r="AC1543" s="69">
        <f t="shared" si="384"/>
        <v>0</v>
      </c>
      <c r="AD1543" s="70">
        <v>44500000</v>
      </c>
      <c r="AE1543" s="63">
        <v>40494</v>
      </c>
      <c r="AF1543" s="72"/>
      <c r="AG1543" s="63" t="s">
        <v>954</v>
      </c>
      <c r="AH1543" s="23" t="s">
        <v>955</v>
      </c>
      <c r="AI1543" s="60"/>
      <c r="AJ1543" s="124" t="s">
        <v>1608</v>
      </c>
      <c r="AK1543" s="121" t="s">
        <v>354</v>
      </c>
      <c r="AL1543" s="107"/>
      <c r="AM1543" s="108"/>
      <c r="AN1543" s="109"/>
      <c r="AO1543" s="108"/>
      <c r="AP1543" s="108"/>
      <c r="AQ1543" s="108"/>
      <c r="AR1543" s="108"/>
      <c r="AS1543" s="108"/>
      <c r="AT1543" s="108"/>
      <c r="AU1543" s="108"/>
      <c r="AV1543" s="108"/>
      <c r="AW1543" s="108"/>
      <c r="AX1543" s="108"/>
      <c r="AY1543" s="108"/>
      <c r="AZ1543" s="108"/>
      <c r="BA1543" s="108"/>
      <c r="BB1543" s="108"/>
      <c r="BC1543" s="108"/>
      <c r="BD1543" s="108"/>
      <c r="BE1543" s="108"/>
      <c r="BF1543" s="108"/>
      <c r="BG1543" s="108"/>
      <c r="BH1543" s="108"/>
      <c r="BI1543" s="108"/>
      <c r="BJ1543" s="108"/>
      <c r="BK1543" s="108"/>
      <c r="BL1543" s="108"/>
      <c r="BM1543" s="108"/>
      <c r="BN1543" s="108"/>
      <c r="BO1543" s="108"/>
      <c r="BP1543" s="108"/>
      <c r="BQ1543" s="108"/>
      <c r="BR1543" s="108"/>
      <c r="BS1543" s="108"/>
      <c r="BT1543" s="108"/>
      <c r="BU1543" s="108"/>
      <c r="BV1543" s="108"/>
      <c r="BW1543" s="108"/>
      <c r="BX1543" s="108"/>
      <c r="BY1543" s="108"/>
      <c r="BZ1543" s="108"/>
      <c r="CA1543" s="108"/>
      <c r="CB1543" s="108"/>
      <c r="CC1543" s="108"/>
      <c r="CD1543" s="108"/>
      <c r="CE1543" s="108"/>
      <c r="CF1543" s="108"/>
      <c r="CG1543" s="108"/>
      <c r="CH1543" s="108"/>
      <c r="CI1543" s="108"/>
      <c r="CJ1543" s="108"/>
      <c r="CK1543" s="108"/>
      <c r="CL1543" s="108"/>
      <c r="CM1543" s="108"/>
      <c r="CN1543" s="110"/>
      <c r="CO1543" s="111"/>
      <c r="CP1543" s="110"/>
      <c r="CQ1543" s="111"/>
      <c r="CR1543" s="110"/>
      <c r="CS1543" s="111"/>
      <c r="CT1543" s="112">
        <f t="shared" si="385"/>
        <v>0</v>
      </c>
      <c r="CU1543" s="113"/>
      <c r="CV1543" s="114"/>
      <c r="CW1543" s="115"/>
      <c r="CX1543" s="116"/>
      <c r="CY1543" s="117"/>
      <c r="CZ1543" s="116"/>
      <c r="DA1543" s="113"/>
      <c r="DB1543" s="114"/>
      <c r="DC1543" s="64"/>
      <c r="DD1543" s="118"/>
    </row>
    <row r="1544" spans="1:108" s="119" customFormat="1" ht="48" outlineLevel="2">
      <c r="A1544" s="178">
        <v>40496</v>
      </c>
      <c r="B1544" s="164" t="s">
        <v>1768</v>
      </c>
      <c r="C1544" s="164" t="s">
        <v>908</v>
      </c>
      <c r="D1544" s="166" t="s">
        <v>1262</v>
      </c>
      <c r="E1544" s="163"/>
      <c r="F1544" s="105"/>
      <c r="G1544" s="105"/>
      <c r="H1544" s="105">
        <f>300*5</f>
        <v>1500</v>
      </c>
      <c r="I1544" s="105">
        <v>300</v>
      </c>
      <c r="J1544" s="105"/>
      <c r="K1544" s="105">
        <v>300</v>
      </c>
      <c r="L1544" s="105"/>
      <c r="M1544" s="105"/>
      <c r="N1544" s="105"/>
      <c r="O1544" s="105"/>
      <c r="P1544" s="105"/>
      <c r="Q1544" s="105"/>
      <c r="R1544" s="105"/>
      <c r="S1544" s="105"/>
      <c r="T1544" s="106"/>
      <c r="U1544" s="130"/>
      <c r="V1544" s="1"/>
      <c r="W1544" s="68">
        <f t="shared" si="380"/>
        <v>0</v>
      </c>
      <c r="X1544" s="68">
        <f t="shared" si="381"/>
        <v>0</v>
      </c>
      <c r="Y1544" s="68">
        <f t="shared" si="382"/>
        <v>0</v>
      </c>
      <c r="Z1544" s="68">
        <f t="shared" si="383"/>
        <v>0</v>
      </c>
      <c r="AA1544" s="68"/>
      <c r="AB1544" s="68">
        <v>0</v>
      </c>
      <c r="AC1544" s="69">
        <f t="shared" si="384"/>
        <v>0</v>
      </c>
      <c r="AD1544" s="70">
        <v>0</v>
      </c>
      <c r="AE1544" s="63">
        <v>40497</v>
      </c>
      <c r="AF1544" s="72"/>
      <c r="AG1544" s="63" t="s">
        <v>938</v>
      </c>
      <c r="AH1544" s="23" t="s">
        <v>939</v>
      </c>
      <c r="AI1544" s="60"/>
      <c r="AJ1544" s="124" t="s">
        <v>1608</v>
      </c>
      <c r="AK1544" s="121" t="s">
        <v>115</v>
      </c>
      <c r="AL1544" s="107"/>
      <c r="AM1544" s="108"/>
      <c r="AN1544" s="109"/>
      <c r="AO1544" s="108"/>
      <c r="AP1544" s="108"/>
      <c r="AQ1544" s="108"/>
      <c r="AR1544" s="108"/>
      <c r="AS1544" s="108"/>
      <c r="AT1544" s="108"/>
      <c r="AU1544" s="108"/>
      <c r="AV1544" s="108"/>
      <c r="AW1544" s="108"/>
      <c r="AX1544" s="108"/>
      <c r="AY1544" s="108"/>
      <c r="AZ1544" s="108"/>
      <c r="BA1544" s="108"/>
      <c r="BB1544" s="108"/>
      <c r="BC1544" s="108"/>
      <c r="BD1544" s="108"/>
      <c r="BE1544" s="108"/>
      <c r="BF1544" s="108"/>
      <c r="BG1544" s="108"/>
      <c r="BH1544" s="108"/>
      <c r="BI1544" s="108"/>
      <c r="BJ1544" s="108"/>
      <c r="BK1544" s="108"/>
      <c r="BL1544" s="108"/>
      <c r="BM1544" s="108"/>
      <c r="BN1544" s="108"/>
      <c r="BO1544" s="108"/>
      <c r="BP1544" s="108"/>
      <c r="BQ1544" s="108"/>
      <c r="BR1544" s="108"/>
      <c r="BS1544" s="108"/>
      <c r="BT1544" s="108"/>
      <c r="BU1544" s="108"/>
      <c r="BV1544" s="108"/>
      <c r="BW1544" s="108"/>
      <c r="BX1544" s="108"/>
      <c r="BY1544" s="108"/>
      <c r="BZ1544" s="108"/>
      <c r="CA1544" s="108"/>
      <c r="CB1544" s="108"/>
      <c r="CC1544" s="108"/>
      <c r="CD1544" s="108"/>
      <c r="CE1544" s="108"/>
      <c r="CF1544" s="108"/>
      <c r="CG1544" s="108"/>
      <c r="CH1544" s="108"/>
      <c r="CI1544" s="108"/>
      <c r="CJ1544" s="108"/>
      <c r="CK1544" s="108"/>
      <c r="CL1544" s="108"/>
      <c r="CM1544" s="108"/>
      <c r="CN1544" s="110"/>
      <c r="CO1544" s="111"/>
      <c r="CP1544" s="110"/>
      <c r="CQ1544" s="111"/>
      <c r="CR1544" s="110"/>
      <c r="CS1544" s="111"/>
      <c r="CT1544" s="112">
        <f t="shared" si="385"/>
        <v>0</v>
      </c>
      <c r="CU1544" s="113"/>
      <c r="CV1544" s="114"/>
      <c r="CW1544" s="115"/>
      <c r="CX1544" s="116"/>
      <c r="CY1544" s="117"/>
      <c r="CZ1544" s="116"/>
      <c r="DA1544" s="113"/>
      <c r="DB1544" s="114"/>
      <c r="DC1544" s="64"/>
      <c r="DD1544" s="118"/>
    </row>
    <row r="1545" spans="1:108" s="119" customFormat="1" ht="24" outlineLevel="2">
      <c r="A1545" s="178">
        <v>40496</v>
      </c>
      <c r="B1545" s="164" t="s">
        <v>1768</v>
      </c>
      <c r="C1545" s="164" t="s">
        <v>642</v>
      </c>
      <c r="D1545" s="166" t="s">
        <v>1262</v>
      </c>
      <c r="E1545" s="163"/>
      <c r="F1545" s="105"/>
      <c r="G1545" s="105"/>
      <c r="H1545" s="105">
        <f>260*5</f>
        <v>1300</v>
      </c>
      <c r="I1545" s="105">
        <f>325-60-5</f>
        <v>260</v>
      </c>
      <c r="J1545" s="105"/>
      <c r="K1545" s="105">
        <v>260</v>
      </c>
      <c r="L1545" s="105"/>
      <c r="M1545" s="105"/>
      <c r="N1545" s="105"/>
      <c r="O1545" s="105"/>
      <c r="P1545" s="105"/>
      <c r="Q1545" s="105"/>
      <c r="R1545" s="105"/>
      <c r="S1545" s="105"/>
      <c r="T1545" s="106"/>
      <c r="U1545" s="130"/>
      <c r="V1545" s="1"/>
      <c r="W1545" s="68">
        <f t="shared" si="380"/>
        <v>0</v>
      </c>
      <c r="X1545" s="68">
        <f t="shared" si="381"/>
        <v>0</v>
      </c>
      <c r="Y1545" s="68">
        <f t="shared" si="382"/>
        <v>0</v>
      </c>
      <c r="Z1545" s="68">
        <f t="shared" si="383"/>
        <v>0</v>
      </c>
      <c r="AA1545" s="68"/>
      <c r="AB1545" s="68">
        <v>0</v>
      </c>
      <c r="AC1545" s="69">
        <f t="shared" si="384"/>
        <v>0</v>
      </c>
      <c r="AD1545" s="70">
        <v>0</v>
      </c>
      <c r="AE1545" s="63">
        <v>40497</v>
      </c>
      <c r="AF1545" s="72"/>
      <c r="AG1545" s="63" t="s">
        <v>938</v>
      </c>
      <c r="AH1545" s="23" t="s">
        <v>939</v>
      </c>
      <c r="AI1545" s="60"/>
      <c r="AJ1545" s="124" t="s">
        <v>1608</v>
      </c>
      <c r="AK1545" s="121" t="s">
        <v>699</v>
      </c>
      <c r="AL1545" s="107"/>
      <c r="AM1545" s="108"/>
      <c r="AN1545" s="109"/>
      <c r="AO1545" s="108"/>
      <c r="AP1545" s="108"/>
      <c r="AQ1545" s="108"/>
      <c r="AR1545" s="108"/>
      <c r="AS1545" s="108"/>
      <c r="AT1545" s="108"/>
      <c r="AU1545" s="108"/>
      <c r="AV1545" s="108"/>
      <c r="AW1545" s="108"/>
      <c r="AX1545" s="108"/>
      <c r="AY1545" s="108"/>
      <c r="AZ1545" s="108"/>
      <c r="BA1545" s="108"/>
      <c r="BB1545" s="108"/>
      <c r="BC1545" s="108"/>
      <c r="BD1545" s="108"/>
      <c r="BE1545" s="108"/>
      <c r="BF1545" s="108"/>
      <c r="BG1545" s="108"/>
      <c r="BH1545" s="108"/>
      <c r="BI1545" s="108"/>
      <c r="BJ1545" s="108"/>
      <c r="BK1545" s="108"/>
      <c r="BL1545" s="108"/>
      <c r="BM1545" s="108"/>
      <c r="BN1545" s="108"/>
      <c r="BO1545" s="108"/>
      <c r="BP1545" s="108"/>
      <c r="BQ1545" s="108"/>
      <c r="BR1545" s="108"/>
      <c r="BS1545" s="108"/>
      <c r="BT1545" s="108"/>
      <c r="BU1545" s="108"/>
      <c r="BV1545" s="108"/>
      <c r="BW1545" s="108"/>
      <c r="BX1545" s="108"/>
      <c r="BY1545" s="108"/>
      <c r="BZ1545" s="108"/>
      <c r="CA1545" s="108"/>
      <c r="CB1545" s="108"/>
      <c r="CC1545" s="108"/>
      <c r="CD1545" s="108"/>
      <c r="CE1545" s="108"/>
      <c r="CF1545" s="108"/>
      <c r="CG1545" s="108"/>
      <c r="CH1545" s="108"/>
      <c r="CI1545" s="108"/>
      <c r="CJ1545" s="108"/>
      <c r="CK1545" s="108"/>
      <c r="CL1545" s="108"/>
      <c r="CM1545" s="108"/>
      <c r="CN1545" s="110"/>
      <c r="CO1545" s="111"/>
      <c r="CP1545" s="110"/>
      <c r="CQ1545" s="111"/>
      <c r="CR1545" s="110"/>
      <c r="CS1545" s="111"/>
      <c r="CT1545" s="112">
        <f t="shared" si="385"/>
        <v>0</v>
      </c>
      <c r="CU1545" s="113"/>
      <c r="CV1545" s="114"/>
      <c r="CW1545" s="115"/>
      <c r="CX1545" s="116"/>
      <c r="CY1545" s="117"/>
      <c r="CZ1545" s="116"/>
      <c r="DA1545" s="113"/>
      <c r="DB1545" s="114"/>
      <c r="DC1545" s="64"/>
      <c r="DD1545" s="118"/>
    </row>
    <row r="1546" spans="1:108" s="119" customFormat="1" ht="24" outlineLevel="2">
      <c r="A1546" s="178">
        <v>40499</v>
      </c>
      <c r="B1546" s="164" t="s">
        <v>1768</v>
      </c>
      <c r="C1546" s="164" t="s">
        <v>1107</v>
      </c>
      <c r="D1546" s="165" t="s">
        <v>1182</v>
      </c>
      <c r="E1546" s="163"/>
      <c r="F1546" s="105"/>
      <c r="G1546" s="105"/>
      <c r="H1546" s="105">
        <v>70</v>
      </c>
      <c r="I1546" s="105">
        <v>14</v>
      </c>
      <c r="J1546" s="105"/>
      <c r="K1546" s="105">
        <v>14</v>
      </c>
      <c r="L1546" s="105"/>
      <c r="M1546" s="105"/>
      <c r="N1546" s="105"/>
      <c r="O1546" s="105"/>
      <c r="P1546" s="105"/>
      <c r="Q1546" s="105"/>
      <c r="R1546" s="105"/>
      <c r="S1546" s="105"/>
      <c r="T1546" s="106"/>
      <c r="U1546" s="130"/>
      <c r="V1546" s="1"/>
      <c r="W1546" s="68">
        <f t="shared" si="380"/>
        <v>0</v>
      </c>
      <c r="X1546" s="68">
        <f t="shared" si="381"/>
        <v>0</v>
      </c>
      <c r="Y1546" s="68">
        <f t="shared" si="382"/>
        <v>0</v>
      </c>
      <c r="Z1546" s="68">
        <f t="shared" si="383"/>
        <v>0</v>
      </c>
      <c r="AA1546" s="68"/>
      <c r="AB1546" s="68">
        <v>0</v>
      </c>
      <c r="AC1546" s="69">
        <f t="shared" si="384"/>
        <v>0</v>
      </c>
      <c r="AD1546" s="70">
        <v>0</v>
      </c>
      <c r="AE1546" s="63">
        <v>40504</v>
      </c>
      <c r="AF1546" s="72"/>
      <c r="AG1546" s="63" t="s">
        <v>938</v>
      </c>
      <c r="AH1546" s="23" t="s">
        <v>939</v>
      </c>
      <c r="AI1546" s="60"/>
      <c r="AJ1546" s="124" t="s">
        <v>1608</v>
      </c>
      <c r="AK1546" s="121" t="s">
        <v>633</v>
      </c>
      <c r="AL1546" s="107"/>
      <c r="AM1546" s="108"/>
      <c r="AN1546" s="109"/>
      <c r="AO1546" s="108"/>
      <c r="AP1546" s="108"/>
      <c r="AQ1546" s="108"/>
      <c r="AR1546" s="108"/>
      <c r="AS1546" s="108"/>
      <c r="AT1546" s="108"/>
      <c r="AU1546" s="108"/>
      <c r="AV1546" s="108"/>
      <c r="AW1546" s="108"/>
      <c r="AX1546" s="108"/>
      <c r="AY1546" s="108"/>
      <c r="AZ1546" s="108"/>
      <c r="BA1546" s="108"/>
      <c r="BB1546" s="108"/>
      <c r="BC1546" s="108"/>
      <c r="BD1546" s="108"/>
      <c r="BE1546" s="108"/>
      <c r="BF1546" s="108"/>
      <c r="BG1546" s="108"/>
      <c r="BH1546" s="108"/>
      <c r="BI1546" s="108"/>
      <c r="BJ1546" s="108"/>
      <c r="BK1546" s="108"/>
      <c r="BL1546" s="108"/>
      <c r="BM1546" s="108"/>
      <c r="BN1546" s="108"/>
      <c r="BO1546" s="108"/>
      <c r="BP1546" s="108"/>
      <c r="BQ1546" s="108"/>
      <c r="BR1546" s="108"/>
      <c r="BS1546" s="108"/>
      <c r="BT1546" s="108"/>
      <c r="BU1546" s="108"/>
      <c r="BV1546" s="108"/>
      <c r="BW1546" s="108"/>
      <c r="BX1546" s="108"/>
      <c r="BY1546" s="108"/>
      <c r="BZ1546" s="108"/>
      <c r="CA1546" s="108"/>
      <c r="CB1546" s="108"/>
      <c r="CC1546" s="108"/>
      <c r="CD1546" s="108"/>
      <c r="CE1546" s="108"/>
      <c r="CF1546" s="108"/>
      <c r="CG1546" s="108"/>
      <c r="CH1546" s="108"/>
      <c r="CI1546" s="108"/>
      <c r="CJ1546" s="108"/>
      <c r="CK1546" s="108"/>
      <c r="CL1546" s="108"/>
      <c r="CM1546" s="108"/>
      <c r="CN1546" s="110"/>
      <c r="CO1546" s="111"/>
      <c r="CP1546" s="110"/>
      <c r="CQ1546" s="111"/>
      <c r="CR1546" s="110"/>
      <c r="CS1546" s="111"/>
      <c r="CT1546" s="112">
        <f t="shared" si="385"/>
        <v>0</v>
      </c>
      <c r="CU1546" s="113"/>
      <c r="CV1546" s="114"/>
      <c r="CW1546" s="115"/>
      <c r="CX1546" s="116"/>
      <c r="CY1546" s="117"/>
      <c r="CZ1546" s="116"/>
      <c r="DA1546" s="113"/>
      <c r="DB1546" s="114"/>
      <c r="DC1546" s="64"/>
      <c r="DD1546" s="118"/>
    </row>
    <row r="1547" spans="1:108" s="119" customFormat="1" ht="48" outlineLevel="2">
      <c r="A1547" s="178">
        <v>40499</v>
      </c>
      <c r="B1547" s="164" t="s">
        <v>1768</v>
      </c>
      <c r="C1547" s="164" t="s">
        <v>68</v>
      </c>
      <c r="D1547" s="166" t="s">
        <v>1262</v>
      </c>
      <c r="E1547" s="163"/>
      <c r="F1547" s="105"/>
      <c r="G1547" s="105"/>
      <c r="H1547" s="105">
        <f>195*5</f>
        <v>975</v>
      </c>
      <c r="I1547" s="105">
        <v>195</v>
      </c>
      <c r="J1547" s="105"/>
      <c r="K1547" s="105">
        <v>195</v>
      </c>
      <c r="L1547" s="105"/>
      <c r="M1547" s="105"/>
      <c r="N1547" s="105"/>
      <c r="O1547" s="105"/>
      <c r="P1547" s="105"/>
      <c r="Q1547" s="105"/>
      <c r="R1547" s="105"/>
      <c r="S1547" s="105"/>
      <c r="T1547" s="106"/>
      <c r="U1547" s="130"/>
      <c r="V1547" s="1"/>
      <c r="W1547" s="68">
        <f t="shared" si="380"/>
        <v>0</v>
      </c>
      <c r="X1547" s="68">
        <f t="shared" si="381"/>
        <v>0</v>
      </c>
      <c r="Y1547" s="68">
        <f t="shared" si="382"/>
        <v>0</v>
      </c>
      <c r="Z1547" s="68">
        <f t="shared" si="383"/>
        <v>0</v>
      </c>
      <c r="AA1547" s="68"/>
      <c r="AB1547" s="68">
        <v>0</v>
      </c>
      <c r="AC1547" s="69">
        <f t="shared" si="384"/>
        <v>0</v>
      </c>
      <c r="AD1547" s="70">
        <v>0</v>
      </c>
      <c r="AE1547" s="63">
        <v>40500</v>
      </c>
      <c r="AF1547" s="72"/>
      <c r="AG1547" s="63" t="s">
        <v>938</v>
      </c>
      <c r="AH1547" s="23" t="s">
        <v>939</v>
      </c>
      <c r="AI1547" s="60"/>
      <c r="AJ1547" s="124" t="s">
        <v>1608</v>
      </c>
      <c r="AK1547" s="121" t="s">
        <v>75</v>
      </c>
      <c r="AL1547" s="107"/>
      <c r="AM1547" s="108"/>
      <c r="AN1547" s="109"/>
      <c r="AO1547" s="108"/>
      <c r="AP1547" s="108"/>
      <c r="AQ1547" s="108"/>
      <c r="AR1547" s="108"/>
      <c r="AS1547" s="108"/>
      <c r="AT1547" s="108"/>
      <c r="AU1547" s="108"/>
      <c r="AV1547" s="108"/>
      <c r="AW1547" s="108"/>
      <c r="AX1547" s="108"/>
      <c r="AY1547" s="108"/>
      <c r="AZ1547" s="108"/>
      <c r="BA1547" s="108"/>
      <c r="BB1547" s="108"/>
      <c r="BC1547" s="108"/>
      <c r="BD1547" s="108"/>
      <c r="BE1547" s="108"/>
      <c r="BF1547" s="108"/>
      <c r="BG1547" s="108"/>
      <c r="BH1547" s="108"/>
      <c r="BI1547" s="108"/>
      <c r="BJ1547" s="108"/>
      <c r="BK1547" s="108"/>
      <c r="BL1547" s="108"/>
      <c r="BM1547" s="108"/>
      <c r="BN1547" s="108"/>
      <c r="BO1547" s="108"/>
      <c r="BP1547" s="108"/>
      <c r="BQ1547" s="108"/>
      <c r="BR1547" s="108"/>
      <c r="BS1547" s="108"/>
      <c r="BT1547" s="108"/>
      <c r="BU1547" s="108"/>
      <c r="BV1547" s="108"/>
      <c r="BW1547" s="108"/>
      <c r="BX1547" s="108"/>
      <c r="BY1547" s="108"/>
      <c r="BZ1547" s="108"/>
      <c r="CA1547" s="108"/>
      <c r="CB1547" s="108"/>
      <c r="CC1547" s="108"/>
      <c r="CD1547" s="108"/>
      <c r="CE1547" s="108"/>
      <c r="CF1547" s="108"/>
      <c r="CG1547" s="108"/>
      <c r="CH1547" s="108"/>
      <c r="CI1547" s="108"/>
      <c r="CJ1547" s="108"/>
      <c r="CK1547" s="108"/>
      <c r="CL1547" s="108"/>
      <c r="CM1547" s="108"/>
      <c r="CN1547" s="110"/>
      <c r="CO1547" s="111"/>
      <c r="CP1547" s="110"/>
      <c r="CQ1547" s="111"/>
      <c r="CR1547" s="110"/>
      <c r="CS1547" s="111"/>
      <c r="CT1547" s="112">
        <f t="shared" si="385"/>
        <v>0</v>
      </c>
      <c r="CU1547" s="113"/>
      <c r="CV1547" s="114"/>
      <c r="CW1547" s="115"/>
      <c r="CX1547" s="116"/>
      <c r="CY1547" s="117"/>
      <c r="CZ1547" s="116"/>
      <c r="DA1547" s="113"/>
      <c r="DB1547" s="114"/>
      <c r="DC1547" s="64"/>
      <c r="DD1547" s="118"/>
    </row>
    <row r="1548" spans="1:108" s="119" customFormat="1" ht="22.5" outlineLevel="2">
      <c r="A1548" s="178">
        <v>40499</v>
      </c>
      <c r="B1548" s="164" t="s">
        <v>1768</v>
      </c>
      <c r="C1548" s="164" t="s">
        <v>953</v>
      </c>
      <c r="D1548" s="166" t="s">
        <v>1262</v>
      </c>
      <c r="E1548" s="163"/>
      <c r="F1548" s="105"/>
      <c r="G1548" s="105"/>
      <c r="H1548" s="105"/>
      <c r="I1548" s="105"/>
      <c r="J1548" s="105"/>
      <c r="K1548" s="105"/>
      <c r="L1548" s="105"/>
      <c r="M1548" s="105"/>
      <c r="N1548" s="105"/>
      <c r="O1548" s="105"/>
      <c r="P1548" s="105"/>
      <c r="Q1548" s="105"/>
      <c r="R1548" s="105"/>
      <c r="S1548" s="105"/>
      <c r="T1548" s="106"/>
      <c r="U1548" s="130"/>
      <c r="V1548" s="1"/>
      <c r="W1548" s="68">
        <f t="shared" si="380"/>
        <v>0</v>
      </c>
      <c r="X1548" s="68">
        <f t="shared" si="381"/>
        <v>0</v>
      </c>
      <c r="Y1548" s="68">
        <f t="shared" si="382"/>
        <v>0</v>
      </c>
      <c r="Z1548" s="68">
        <f t="shared" si="383"/>
        <v>0</v>
      </c>
      <c r="AA1548" s="68"/>
      <c r="AB1548" s="68">
        <v>0</v>
      </c>
      <c r="AC1548" s="69">
        <f t="shared" si="384"/>
        <v>0</v>
      </c>
      <c r="AD1548" s="70">
        <v>23000000</v>
      </c>
      <c r="AE1548" s="63">
        <v>40500</v>
      </c>
      <c r="AF1548" s="72"/>
      <c r="AG1548" s="63" t="s">
        <v>954</v>
      </c>
      <c r="AH1548" s="23" t="s">
        <v>955</v>
      </c>
      <c r="AI1548" s="60"/>
      <c r="AJ1548" s="124" t="s">
        <v>1476</v>
      </c>
      <c r="AK1548" s="121" t="s">
        <v>682</v>
      </c>
      <c r="AL1548" s="107"/>
      <c r="AM1548" s="108"/>
      <c r="AN1548" s="109"/>
      <c r="AO1548" s="108"/>
      <c r="AP1548" s="108"/>
      <c r="AQ1548" s="108"/>
      <c r="AR1548" s="108"/>
      <c r="AS1548" s="108"/>
      <c r="AT1548" s="108"/>
      <c r="AU1548" s="108"/>
      <c r="AV1548" s="108"/>
      <c r="AW1548" s="108"/>
      <c r="AX1548" s="108"/>
      <c r="AY1548" s="108"/>
      <c r="AZ1548" s="108"/>
      <c r="BA1548" s="108"/>
      <c r="BB1548" s="108"/>
      <c r="BC1548" s="108"/>
      <c r="BD1548" s="108"/>
      <c r="BE1548" s="108"/>
      <c r="BF1548" s="108"/>
      <c r="BG1548" s="108"/>
      <c r="BH1548" s="108"/>
      <c r="BI1548" s="108"/>
      <c r="BJ1548" s="108"/>
      <c r="BK1548" s="108"/>
      <c r="BL1548" s="108"/>
      <c r="BM1548" s="108"/>
      <c r="BN1548" s="108"/>
      <c r="BO1548" s="108"/>
      <c r="BP1548" s="108"/>
      <c r="BQ1548" s="108"/>
      <c r="BR1548" s="108"/>
      <c r="BS1548" s="108"/>
      <c r="BT1548" s="108"/>
      <c r="BU1548" s="108"/>
      <c r="BV1548" s="108"/>
      <c r="BW1548" s="108"/>
      <c r="BX1548" s="108"/>
      <c r="BY1548" s="108"/>
      <c r="BZ1548" s="108"/>
      <c r="CA1548" s="108"/>
      <c r="CB1548" s="108"/>
      <c r="CC1548" s="108"/>
      <c r="CD1548" s="108"/>
      <c r="CE1548" s="108"/>
      <c r="CF1548" s="108"/>
      <c r="CG1548" s="108"/>
      <c r="CH1548" s="108"/>
      <c r="CI1548" s="108"/>
      <c r="CJ1548" s="108"/>
      <c r="CK1548" s="108"/>
      <c r="CL1548" s="108"/>
      <c r="CM1548" s="108"/>
      <c r="CN1548" s="110"/>
      <c r="CO1548" s="111"/>
      <c r="CP1548" s="110"/>
      <c r="CQ1548" s="111"/>
      <c r="CR1548" s="110"/>
      <c r="CS1548" s="111"/>
      <c r="CT1548" s="112">
        <f t="shared" si="385"/>
        <v>0</v>
      </c>
      <c r="CU1548" s="113"/>
      <c r="CV1548" s="114"/>
      <c r="CW1548" s="115"/>
      <c r="CX1548" s="116"/>
      <c r="CY1548" s="117"/>
      <c r="CZ1548" s="116"/>
      <c r="DA1548" s="113"/>
      <c r="DB1548" s="114"/>
      <c r="DC1548" s="64"/>
      <c r="DD1548" s="118"/>
    </row>
    <row r="1549" spans="1:108" s="119" customFormat="1" ht="96" outlineLevel="2">
      <c r="A1549" s="178">
        <v>40499</v>
      </c>
      <c r="B1549" s="164" t="s">
        <v>1768</v>
      </c>
      <c r="C1549" s="164" t="s">
        <v>1692</v>
      </c>
      <c r="D1549" s="166" t="s">
        <v>1262</v>
      </c>
      <c r="E1549" s="163"/>
      <c r="F1549" s="105"/>
      <c r="G1549" s="105"/>
      <c r="H1549" s="105">
        <v>4230</v>
      </c>
      <c r="I1549" s="105">
        <v>851</v>
      </c>
      <c r="J1549" s="105"/>
      <c r="K1549" s="105">
        <v>851</v>
      </c>
      <c r="L1549" s="105">
        <v>1</v>
      </c>
      <c r="M1549" s="105"/>
      <c r="N1549" s="105"/>
      <c r="O1549" s="105"/>
      <c r="P1549" s="105"/>
      <c r="Q1549" s="105"/>
      <c r="R1549" s="105"/>
      <c r="S1549" s="105"/>
      <c r="T1549" s="106"/>
      <c r="U1549" s="130"/>
      <c r="V1549" s="1"/>
      <c r="W1549" s="68">
        <f t="shared" si="380"/>
        <v>0</v>
      </c>
      <c r="X1549" s="68">
        <f t="shared" si="381"/>
        <v>0</v>
      </c>
      <c r="Y1549" s="68">
        <f t="shared" si="382"/>
        <v>0</v>
      </c>
      <c r="Z1549" s="68">
        <f t="shared" si="383"/>
        <v>0</v>
      </c>
      <c r="AA1549" s="68"/>
      <c r="AB1549" s="68">
        <v>0</v>
      </c>
      <c r="AC1549" s="69">
        <f t="shared" si="384"/>
        <v>0</v>
      </c>
      <c r="AD1549" s="70">
        <v>0</v>
      </c>
      <c r="AE1549" s="63">
        <v>40500</v>
      </c>
      <c r="AF1549" s="72"/>
      <c r="AG1549" s="63" t="s">
        <v>938</v>
      </c>
      <c r="AH1549" s="23" t="s">
        <v>939</v>
      </c>
      <c r="AI1549" s="60"/>
      <c r="AJ1549" s="124" t="s">
        <v>1608</v>
      </c>
      <c r="AK1549" s="121" t="s">
        <v>2211</v>
      </c>
      <c r="AL1549" s="107"/>
      <c r="AM1549" s="108"/>
      <c r="AN1549" s="109"/>
      <c r="AO1549" s="108"/>
      <c r="AP1549" s="108"/>
      <c r="AQ1549" s="108"/>
      <c r="AR1549" s="108"/>
      <c r="AS1549" s="108"/>
      <c r="AT1549" s="108"/>
      <c r="AU1549" s="108"/>
      <c r="AV1549" s="108"/>
      <c r="AW1549" s="108"/>
      <c r="AX1549" s="108"/>
      <c r="AY1549" s="108"/>
      <c r="AZ1549" s="108"/>
      <c r="BA1549" s="108"/>
      <c r="BB1549" s="108"/>
      <c r="BC1549" s="108"/>
      <c r="BD1549" s="108"/>
      <c r="BE1549" s="108"/>
      <c r="BF1549" s="108"/>
      <c r="BG1549" s="108"/>
      <c r="BH1549" s="108"/>
      <c r="BI1549" s="108"/>
      <c r="BJ1549" s="108"/>
      <c r="BK1549" s="108"/>
      <c r="BL1549" s="108"/>
      <c r="BM1549" s="108"/>
      <c r="BN1549" s="108"/>
      <c r="BO1549" s="108"/>
      <c r="BP1549" s="108"/>
      <c r="BQ1549" s="108"/>
      <c r="BR1549" s="108"/>
      <c r="BS1549" s="108"/>
      <c r="BT1549" s="108"/>
      <c r="BU1549" s="108"/>
      <c r="BV1549" s="108"/>
      <c r="BW1549" s="108"/>
      <c r="BX1549" s="108"/>
      <c r="BY1549" s="108"/>
      <c r="BZ1549" s="108"/>
      <c r="CA1549" s="108"/>
      <c r="CB1549" s="108"/>
      <c r="CC1549" s="108"/>
      <c r="CD1549" s="108"/>
      <c r="CE1549" s="108"/>
      <c r="CF1549" s="108"/>
      <c r="CG1549" s="108"/>
      <c r="CH1549" s="108"/>
      <c r="CI1549" s="108"/>
      <c r="CJ1549" s="108"/>
      <c r="CK1549" s="108"/>
      <c r="CL1549" s="108"/>
      <c r="CM1549" s="108"/>
      <c r="CN1549" s="110"/>
      <c r="CO1549" s="111"/>
      <c r="CP1549" s="110"/>
      <c r="CQ1549" s="111"/>
      <c r="CR1549" s="110"/>
      <c r="CS1549" s="111"/>
      <c r="CT1549" s="112">
        <f t="shared" si="385"/>
        <v>0</v>
      </c>
      <c r="CU1549" s="113"/>
      <c r="CV1549" s="114"/>
      <c r="CW1549" s="115"/>
      <c r="CX1549" s="116"/>
      <c r="CY1549" s="117"/>
      <c r="CZ1549" s="116"/>
      <c r="DA1549" s="113"/>
      <c r="DB1549" s="114"/>
      <c r="DC1549" s="64"/>
      <c r="DD1549" s="118"/>
    </row>
    <row r="1550" spans="1:108" s="119" customFormat="1" ht="108" outlineLevel="2">
      <c r="A1550" s="178">
        <v>40499</v>
      </c>
      <c r="B1550" s="164" t="s">
        <v>1768</v>
      </c>
      <c r="C1550" s="164" t="s">
        <v>1787</v>
      </c>
      <c r="D1550" s="166" t="s">
        <v>1262</v>
      </c>
      <c r="E1550" s="163"/>
      <c r="F1550" s="105"/>
      <c r="G1550" s="105"/>
      <c r="H1550" s="105">
        <f>275*5</f>
        <v>1375</v>
      </c>
      <c r="I1550" s="105">
        <v>275</v>
      </c>
      <c r="J1550" s="105"/>
      <c r="K1550" s="105">
        <v>275</v>
      </c>
      <c r="L1550" s="105"/>
      <c r="M1550" s="105"/>
      <c r="N1550" s="105"/>
      <c r="O1550" s="105"/>
      <c r="P1550" s="105"/>
      <c r="Q1550" s="105"/>
      <c r="R1550" s="105"/>
      <c r="S1550" s="105"/>
      <c r="T1550" s="106"/>
      <c r="U1550" s="130"/>
      <c r="V1550" s="1">
        <v>40500</v>
      </c>
      <c r="W1550" s="68">
        <f t="shared" si="380"/>
        <v>0</v>
      </c>
      <c r="X1550" s="68">
        <f t="shared" si="381"/>
        <v>0</v>
      </c>
      <c r="Y1550" s="68">
        <f t="shared" si="382"/>
        <v>0</v>
      </c>
      <c r="Z1550" s="68">
        <f t="shared" si="383"/>
        <v>0</v>
      </c>
      <c r="AA1550" s="68"/>
      <c r="AB1550" s="68">
        <v>35000000</v>
      </c>
      <c r="AC1550" s="69">
        <f t="shared" si="384"/>
        <v>35000000</v>
      </c>
      <c r="AD1550" s="70">
        <v>0</v>
      </c>
      <c r="AE1550" s="63">
        <v>40494</v>
      </c>
      <c r="AF1550" s="72">
        <v>64317</v>
      </c>
      <c r="AG1550" s="63" t="s">
        <v>954</v>
      </c>
      <c r="AH1550" s="23" t="s">
        <v>955</v>
      </c>
      <c r="AI1550" s="60">
        <v>43264</v>
      </c>
      <c r="AJ1550" s="124" t="s">
        <v>1476</v>
      </c>
      <c r="AK1550" s="121" t="s">
        <v>69</v>
      </c>
      <c r="AL1550" s="107"/>
      <c r="AM1550" s="108"/>
      <c r="AN1550" s="109"/>
      <c r="AO1550" s="108"/>
      <c r="AP1550" s="108"/>
      <c r="AQ1550" s="108"/>
      <c r="AR1550" s="108"/>
      <c r="AS1550" s="108"/>
      <c r="AT1550" s="108"/>
      <c r="AU1550" s="108"/>
      <c r="AV1550" s="108"/>
      <c r="AW1550" s="108"/>
      <c r="AX1550" s="108"/>
      <c r="AY1550" s="108"/>
      <c r="AZ1550" s="108"/>
      <c r="BA1550" s="108"/>
      <c r="BB1550" s="108"/>
      <c r="BC1550" s="108"/>
      <c r="BD1550" s="108"/>
      <c r="BE1550" s="108"/>
      <c r="BF1550" s="108"/>
      <c r="BG1550" s="108"/>
      <c r="BH1550" s="108"/>
      <c r="BI1550" s="108"/>
      <c r="BJ1550" s="108"/>
      <c r="BK1550" s="108"/>
      <c r="BL1550" s="108"/>
      <c r="BM1550" s="108"/>
      <c r="BN1550" s="108"/>
      <c r="BO1550" s="108"/>
      <c r="BP1550" s="108"/>
      <c r="BQ1550" s="108"/>
      <c r="BR1550" s="108"/>
      <c r="BS1550" s="108"/>
      <c r="BT1550" s="108"/>
      <c r="BU1550" s="108"/>
      <c r="BV1550" s="108"/>
      <c r="BW1550" s="108"/>
      <c r="BX1550" s="108"/>
      <c r="BY1550" s="108"/>
      <c r="BZ1550" s="108"/>
      <c r="CA1550" s="108"/>
      <c r="CB1550" s="108"/>
      <c r="CC1550" s="108"/>
      <c r="CD1550" s="108"/>
      <c r="CE1550" s="108"/>
      <c r="CF1550" s="108"/>
      <c r="CG1550" s="108"/>
      <c r="CH1550" s="108"/>
      <c r="CI1550" s="108"/>
      <c r="CJ1550" s="108"/>
      <c r="CK1550" s="108"/>
      <c r="CL1550" s="108"/>
      <c r="CM1550" s="108"/>
      <c r="CN1550" s="110"/>
      <c r="CO1550" s="111"/>
      <c r="CP1550" s="110"/>
      <c r="CQ1550" s="111"/>
      <c r="CR1550" s="110"/>
      <c r="CS1550" s="111"/>
      <c r="CT1550" s="112">
        <f t="shared" si="385"/>
        <v>0</v>
      </c>
      <c r="CU1550" s="113"/>
      <c r="CV1550" s="114"/>
      <c r="CW1550" s="115"/>
      <c r="CX1550" s="116"/>
      <c r="CY1550" s="117"/>
      <c r="CZ1550" s="116"/>
      <c r="DA1550" s="113"/>
      <c r="DB1550" s="114"/>
      <c r="DC1550" s="64">
        <v>2</v>
      </c>
      <c r="DD1550" s="118"/>
    </row>
    <row r="1551" spans="1:108" s="119" customFormat="1" ht="24" outlineLevel="2">
      <c r="A1551" s="178">
        <v>40499</v>
      </c>
      <c r="B1551" s="164" t="s">
        <v>1768</v>
      </c>
      <c r="C1551" s="164" t="s">
        <v>1527</v>
      </c>
      <c r="D1551" s="166" t="s">
        <v>1262</v>
      </c>
      <c r="E1551" s="163"/>
      <c r="F1551" s="105"/>
      <c r="G1551" s="105"/>
      <c r="H1551" s="105">
        <f>150*5</f>
        <v>750</v>
      </c>
      <c r="I1551" s="105">
        <v>150</v>
      </c>
      <c r="J1551" s="105"/>
      <c r="K1551" s="105">
        <v>150</v>
      </c>
      <c r="L1551" s="105"/>
      <c r="M1551" s="105"/>
      <c r="N1551" s="105"/>
      <c r="O1551" s="105"/>
      <c r="P1551" s="105"/>
      <c r="Q1551" s="105"/>
      <c r="R1551" s="105"/>
      <c r="S1551" s="105"/>
      <c r="T1551" s="106"/>
      <c r="U1551" s="130"/>
      <c r="V1551" s="1"/>
      <c r="W1551" s="68">
        <f t="shared" si="380"/>
        <v>0</v>
      </c>
      <c r="X1551" s="68">
        <f t="shared" si="381"/>
        <v>0</v>
      </c>
      <c r="Y1551" s="68">
        <f t="shared" si="382"/>
        <v>0</v>
      </c>
      <c r="Z1551" s="68">
        <f t="shared" si="383"/>
        <v>0</v>
      </c>
      <c r="AA1551" s="68"/>
      <c r="AB1551" s="68">
        <v>0</v>
      </c>
      <c r="AC1551" s="69">
        <f t="shared" si="384"/>
        <v>0</v>
      </c>
      <c r="AD1551" s="70">
        <v>0</v>
      </c>
      <c r="AE1551" s="63">
        <v>40500</v>
      </c>
      <c r="AF1551" s="72"/>
      <c r="AG1551" s="63" t="s">
        <v>938</v>
      </c>
      <c r="AH1551" s="23" t="s">
        <v>939</v>
      </c>
      <c r="AI1551" s="60"/>
      <c r="AJ1551" s="124" t="s">
        <v>1608</v>
      </c>
      <c r="AK1551" s="121" t="s">
        <v>64</v>
      </c>
      <c r="AL1551" s="107"/>
      <c r="AM1551" s="108"/>
      <c r="AN1551" s="109"/>
      <c r="AO1551" s="108"/>
      <c r="AP1551" s="108"/>
      <c r="AQ1551" s="108"/>
      <c r="AR1551" s="108"/>
      <c r="AS1551" s="108"/>
      <c r="AT1551" s="108"/>
      <c r="AU1551" s="108"/>
      <c r="AV1551" s="108"/>
      <c r="AW1551" s="108"/>
      <c r="AX1551" s="108"/>
      <c r="AY1551" s="108"/>
      <c r="AZ1551" s="108"/>
      <c r="BA1551" s="108"/>
      <c r="BB1551" s="108"/>
      <c r="BC1551" s="108"/>
      <c r="BD1551" s="108"/>
      <c r="BE1551" s="108"/>
      <c r="BF1551" s="108"/>
      <c r="BG1551" s="108"/>
      <c r="BH1551" s="108"/>
      <c r="BI1551" s="108"/>
      <c r="BJ1551" s="108"/>
      <c r="BK1551" s="108"/>
      <c r="BL1551" s="108"/>
      <c r="BM1551" s="108"/>
      <c r="BN1551" s="108"/>
      <c r="BO1551" s="108"/>
      <c r="BP1551" s="108"/>
      <c r="BQ1551" s="108"/>
      <c r="BR1551" s="108"/>
      <c r="BS1551" s="108"/>
      <c r="BT1551" s="108"/>
      <c r="BU1551" s="108"/>
      <c r="BV1551" s="108"/>
      <c r="BW1551" s="108"/>
      <c r="BX1551" s="108"/>
      <c r="BY1551" s="108"/>
      <c r="BZ1551" s="108"/>
      <c r="CA1551" s="108"/>
      <c r="CB1551" s="108"/>
      <c r="CC1551" s="108"/>
      <c r="CD1551" s="108"/>
      <c r="CE1551" s="108"/>
      <c r="CF1551" s="108"/>
      <c r="CG1551" s="108"/>
      <c r="CH1551" s="108"/>
      <c r="CI1551" s="108"/>
      <c r="CJ1551" s="108"/>
      <c r="CK1551" s="108"/>
      <c r="CL1551" s="108"/>
      <c r="CM1551" s="108"/>
      <c r="CN1551" s="110"/>
      <c r="CO1551" s="111"/>
      <c r="CP1551" s="110"/>
      <c r="CQ1551" s="111"/>
      <c r="CR1551" s="110"/>
      <c r="CS1551" s="111"/>
      <c r="CT1551" s="112">
        <f t="shared" si="385"/>
        <v>0</v>
      </c>
      <c r="CU1551" s="113"/>
      <c r="CV1551" s="114"/>
      <c r="CW1551" s="115"/>
      <c r="CX1551" s="116"/>
      <c r="CY1551" s="117"/>
      <c r="CZ1551" s="116"/>
      <c r="DA1551" s="113"/>
      <c r="DB1551" s="114"/>
      <c r="DC1551" s="64"/>
      <c r="DD1551" s="118"/>
    </row>
    <row r="1552" spans="1:108" s="119" customFormat="1" ht="24" outlineLevel="2">
      <c r="A1552" s="178">
        <v>40499</v>
      </c>
      <c r="B1552" s="164" t="s">
        <v>1768</v>
      </c>
      <c r="C1552" s="164" t="s">
        <v>1089</v>
      </c>
      <c r="D1552" s="166" t="s">
        <v>1262</v>
      </c>
      <c r="E1552" s="163"/>
      <c r="F1552" s="105"/>
      <c r="G1552" s="105"/>
      <c r="H1552" s="105">
        <v>300</v>
      </c>
      <c r="I1552" s="105">
        <v>60</v>
      </c>
      <c r="J1552" s="105"/>
      <c r="K1552" s="105">
        <v>60</v>
      </c>
      <c r="L1552" s="105"/>
      <c r="M1552" s="105"/>
      <c r="N1552" s="105"/>
      <c r="O1552" s="105"/>
      <c r="P1552" s="105"/>
      <c r="Q1552" s="105"/>
      <c r="R1552" s="105"/>
      <c r="S1552" s="105"/>
      <c r="T1552" s="106"/>
      <c r="U1552" s="130"/>
      <c r="V1552" s="1"/>
      <c r="W1552" s="68">
        <f t="shared" si="380"/>
        <v>0</v>
      </c>
      <c r="X1552" s="68">
        <f t="shared" si="381"/>
        <v>0</v>
      </c>
      <c r="Y1552" s="68">
        <f t="shared" si="382"/>
        <v>0</v>
      </c>
      <c r="Z1552" s="68">
        <f t="shared" si="383"/>
        <v>0</v>
      </c>
      <c r="AA1552" s="68"/>
      <c r="AB1552" s="68">
        <v>0</v>
      </c>
      <c r="AC1552" s="69">
        <f t="shared" si="384"/>
        <v>0</v>
      </c>
      <c r="AD1552" s="70">
        <v>0</v>
      </c>
      <c r="AE1552" s="63">
        <v>40504</v>
      </c>
      <c r="AF1552" s="72"/>
      <c r="AG1552" s="63" t="s">
        <v>938</v>
      </c>
      <c r="AH1552" s="23" t="s">
        <v>939</v>
      </c>
      <c r="AI1552" s="60"/>
      <c r="AJ1552" s="124" t="s">
        <v>1608</v>
      </c>
      <c r="AK1552" s="121" t="s">
        <v>76</v>
      </c>
      <c r="AL1552" s="107"/>
      <c r="AM1552" s="108"/>
      <c r="AN1552" s="109"/>
      <c r="AO1552" s="108"/>
      <c r="AP1552" s="108"/>
      <c r="AQ1552" s="108"/>
      <c r="AR1552" s="108"/>
      <c r="AS1552" s="108"/>
      <c r="AT1552" s="108"/>
      <c r="AU1552" s="108"/>
      <c r="AV1552" s="108"/>
      <c r="AW1552" s="108"/>
      <c r="AX1552" s="108"/>
      <c r="AY1552" s="108"/>
      <c r="AZ1552" s="108"/>
      <c r="BA1552" s="108"/>
      <c r="BB1552" s="108"/>
      <c r="BC1552" s="108"/>
      <c r="BD1552" s="108"/>
      <c r="BE1552" s="108"/>
      <c r="BF1552" s="108"/>
      <c r="BG1552" s="108"/>
      <c r="BH1552" s="108"/>
      <c r="BI1552" s="108"/>
      <c r="BJ1552" s="108"/>
      <c r="BK1552" s="108"/>
      <c r="BL1552" s="108"/>
      <c r="BM1552" s="108"/>
      <c r="BN1552" s="108"/>
      <c r="BO1552" s="108"/>
      <c r="BP1552" s="108"/>
      <c r="BQ1552" s="108"/>
      <c r="BR1552" s="108"/>
      <c r="BS1552" s="108"/>
      <c r="BT1552" s="108"/>
      <c r="BU1552" s="108"/>
      <c r="BV1552" s="108"/>
      <c r="BW1552" s="108"/>
      <c r="BX1552" s="108"/>
      <c r="BY1552" s="108"/>
      <c r="BZ1552" s="108"/>
      <c r="CA1552" s="108"/>
      <c r="CB1552" s="108"/>
      <c r="CC1552" s="108"/>
      <c r="CD1552" s="108"/>
      <c r="CE1552" s="108"/>
      <c r="CF1552" s="108"/>
      <c r="CG1552" s="108"/>
      <c r="CH1552" s="108"/>
      <c r="CI1552" s="108"/>
      <c r="CJ1552" s="108"/>
      <c r="CK1552" s="108"/>
      <c r="CL1552" s="108"/>
      <c r="CM1552" s="108"/>
      <c r="CN1552" s="110"/>
      <c r="CO1552" s="111"/>
      <c r="CP1552" s="110"/>
      <c r="CQ1552" s="111"/>
      <c r="CR1552" s="110"/>
      <c r="CS1552" s="111"/>
      <c r="CT1552" s="112">
        <f t="shared" si="385"/>
        <v>0</v>
      </c>
      <c r="CU1552" s="113"/>
      <c r="CV1552" s="114"/>
      <c r="CW1552" s="115"/>
      <c r="CX1552" s="116"/>
      <c r="CY1552" s="117"/>
      <c r="CZ1552" s="116"/>
      <c r="DA1552" s="113"/>
      <c r="DB1552" s="114"/>
      <c r="DC1552" s="64"/>
      <c r="DD1552" s="118"/>
    </row>
    <row r="1553" spans="1:108" s="119" customFormat="1" ht="24" outlineLevel="2">
      <c r="A1553" s="178">
        <v>40502</v>
      </c>
      <c r="B1553" s="164" t="s">
        <v>1768</v>
      </c>
      <c r="C1553" s="164" t="s">
        <v>583</v>
      </c>
      <c r="D1553" s="165" t="s">
        <v>1182</v>
      </c>
      <c r="E1553" s="163"/>
      <c r="F1553" s="105"/>
      <c r="G1553" s="105"/>
      <c r="H1553" s="105">
        <v>500</v>
      </c>
      <c r="I1553" s="105">
        <v>100</v>
      </c>
      <c r="J1553" s="105"/>
      <c r="K1553" s="105">
        <v>100</v>
      </c>
      <c r="L1553" s="105">
        <v>1</v>
      </c>
      <c r="M1553" s="105"/>
      <c r="N1553" s="105"/>
      <c r="O1553" s="105"/>
      <c r="P1553" s="105"/>
      <c r="Q1553" s="105"/>
      <c r="R1553" s="105"/>
      <c r="S1553" s="105"/>
      <c r="T1553" s="106"/>
      <c r="U1553" s="130"/>
      <c r="V1553" s="1"/>
      <c r="W1553" s="68">
        <f t="shared" si="380"/>
        <v>0</v>
      </c>
      <c r="X1553" s="68">
        <f t="shared" si="381"/>
        <v>0</v>
      </c>
      <c r="Y1553" s="68">
        <f t="shared" si="382"/>
        <v>0</v>
      </c>
      <c r="Z1553" s="68">
        <f t="shared" si="383"/>
        <v>0</v>
      </c>
      <c r="AA1553" s="68"/>
      <c r="AB1553" s="68">
        <v>0</v>
      </c>
      <c r="AC1553" s="69">
        <f t="shared" si="384"/>
        <v>0</v>
      </c>
      <c r="AD1553" s="70">
        <v>17800000</v>
      </c>
      <c r="AE1553" s="63">
        <v>40504</v>
      </c>
      <c r="AF1553" s="72"/>
      <c r="AG1553" s="63" t="s">
        <v>954</v>
      </c>
      <c r="AH1553" s="23" t="s">
        <v>955</v>
      </c>
      <c r="AI1553" s="60"/>
      <c r="AJ1553" s="124" t="s">
        <v>1608</v>
      </c>
      <c r="AK1553" s="121" t="s">
        <v>661</v>
      </c>
      <c r="AL1553" s="107"/>
      <c r="AM1553" s="108"/>
      <c r="AN1553" s="109"/>
      <c r="AO1553" s="108"/>
      <c r="AP1553" s="108"/>
      <c r="AQ1553" s="108"/>
      <c r="AR1553" s="108"/>
      <c r="AS1553" s="108"/>
      <c r="AT1553" s="108"/>
      <c r="AU1553" s="108"/>
      <c r="AV1553" s="108"/>
      <c r="AW1553" s="108"/>
      <c r="AX1553" s="108"/>
      <c r="AY1553" s="108"/>
      <c r="AZ1553" s="108"/>
      <c r="BA1553" s="108"/>
      <c r="BB1553" s="108"/>
      <c r="BC1553" s="108"/>
      <c r="BD1553" s="108"/>
      <c r="BE1553" s="108"/>
      <c r="BF1553" s="108"/>
      <c r="BG1553" s="108"/>
      <c r="BH1553" s="108"/>
      <c r="BI1553" s="108"/>
      <c r="BJ1553" s="108"/>
      <c r="BK1553" s="108"/>
      <c r="BL1553" s="108"/>
      <c r="BM1553" s="108"/>
      <c r="BN1553" s="108"/>
      <c r="BO1553" s="108"/>
      <c r="BP1553" s="108"/>
      <c r="BQ1553" s="108"/>
      <c r="BR1553" s="108"/>
      <c r="BS1553" s="108"/>
      <c r="BT1553" s="108"/>
      <c r="BU1553" s="108"/>
      <c r="BV1553" s="108"/>
      <c r="BW1553" s="108"/>
      <c r="BX1553" s="108"/>
      <c r="BY1553" s="108"/>
      <c r="BZ1553" s="108"/>
      <c r="CA1553" s="108"/>
      <c r="CB1553" s="108"/>
      <c r="CC1553" s="108"/>
      <c r="CD1553" s="108"/>
      <c r="CE1553" s="108"/>
      <c r="CF1553" s="108"/>
      <c r="CG1553" s="108"/>
      <c r="CH1553" s="108"/>
      <c r="CI1553" s="108"/>
      <c r="CJ1553" s="108"/>
      <c r="CK1553" s="108"/>
      <c r="CL1553" s="108"/>
      <c r="CM1553" s="108"/>
      <c r="CN1553" s="110"/>
      <c r="CO1553" s="111"/>
      <c r="CP1553" s="110"/>
      <c r="CQ1553" s="111"/>
      <c r="CR1553" s="110"/>
      <c r="CS1553" s="111"/>
      <c r="CT1553" s="112">
        <f t="shared" si="385"/>
        <v>0</v>
      </c>
      <c r="CU1553" s="113"/>
      <c r="CV1553" s="114"/>
      <c r="CW1553" s="115"/>
      <c r="CX1553" s="116"/>
      <c r="CY1553" s="117"/>
      <c r="CZ1553" s="116"/>
      <c r="DA1553" s="113"/>
      <c r="DB1553" s="114"/>
      <c r="DC1553" s="64"/>
      <c r="DD1553" s="118"/>
    </row>
    <row r="1554" spans="1:108" s="119" customFormat="1" ht="24" outlineLevel="2">
      <c r="A1554" s="178">
        <v>40502</v>
      </c>
      <c r="B1554" s="164" t="s">
        <v>1768</v>
      </c>
      <c r="C1554" s="164" t="s">
        <v>100</v>
      </c>
      <c r="D1554" s="165" t="s">
        <v>1182</v>
      </c>
      <c r="E1554" s="163"/>
      <c r="F1554" s="105"/>
      <c r="G1554" s="105"/>
      <c r="H1554" s="105">
        <v>5</v>
      </c>
      <c r="I1554" s="105">
        <v>1</v>
      </c>
      <c r="J1554" s="105">
        <v>1</v>
      </c>
      <c r="K1554" s="105"/>
      <c r="L1554" s="105">
        <v>1</v>
      </c>
      <c r="M1554" s="105"/>
      <c r="N1554" s="105"/>
      <c r="O1554" s="105"/>
      <c r="P1554" s="105"/>
      <c r="Q1554" s="105"/>
      <c r="R1554" s="105"/>
      <c r="S1554" s="105"/>
      <c r="T1554" s="106"/>
      <c r="U1554" s="130"/>
      <c r="V1554" s="1"/>
      <c r="W1554" s="68">
        <f t="shared" si="380"/>
        <v>0</v>
      </c>
      <c r="X1554" s="68">
        <f t="shared" si="381"/>
        <v>0</v>
      </c>
      <c r="Y1554" s="68">
        <f t="shared" si="382"/>
        <v>0</v>
      </c>
      <c r="Z1554" s="68">
        <f t="shared" si="383"/>
        <v>0</v>
      </c>
      <c r="AA1554" s="68"/>
      <c r="AB1554" s="68">
        <v>0</v>
      </c>
      <c r="AC1554" s="69">
        <f t="shared" si="384"/>
        <v>0</v>
      </c>
      <c r="AD1554" s="70">
        <v>0</v>
      </c>
      <c r="AE1554" s="63">
        <v>40505</v>
      </c>
      <c r="AF1554" s="72"/>
      <c r="AG1554" s="63" t="s">
        <v>938</v>
      </c>
      <c r="AH1554" s="23" t="s">
        <v>939</v>
      </c>
      <c r="AI1554" s="60"/>
      <c r="AJ1554" s="124" t="s">
        <v>1608</v>
      </c>
      <c r="AK1554" s="121" t="s">
        <v>2212</v>
      </c>
      <c r="AL1554" s="107"/>
      <c r="AM1554" s="108"/>
      <c r="AN1554" s="109"/>
      <c r="AO1554" s="108"/>
      <c r="AP1554" s="108"/>
      <c r="AQ1554" s="108"/>
      <c r="AR1554" s="108"/>
      <c r="AS1554" s="108"/>
      <c r="AT1554" s="108"/>
      <c r="AU1554" s="108"/>
      <c r="AV1554" s="108"/>
      <c r="AW1554" s="108"/>
      <c r="AX1554" s="108"/>
      <c r="AY1554" s="108"/>
      <c r="AZ1554" s="108"/>
      <c r="BA1554" s="108"/>
      <c r="BB1554" s="108"/>
      <c r="BC1554" s="108"/>
      <c r="BD1554" s="108"/>
      <c r="BE1554" s="108"/>
      <c r="BF1554" s="108"/>
      <c r="BG1554" s="108"/>
      <c r="BH1554" s="108"/>
      <c r="BI1554" s="108"/>
      <c r="BJ1554" s="108"/>
      <c r="BK1554" s="108"/>
      <c r="BL1554" s="108"/>
      <c r="BM1554" s="108"/>
      <c r="BN1554" s="108"/>
      <c r="BO1554" s="108"/>
      <c r="BP1554" s="108"/>
      <c r="BQ1554" s="108"/>
      <c r="BR1554" s="108"/>
      <c r="BS1554" s="108"/>
      <c r="BT1554" s="108"/>
      <c r="BU1554" s="108"/>
      <c r="BV1554" s="108"/>
      <c r="BW1554" s="108"/>
      <c r="BX1554" s="108"/>
      <c r="BY1554" s="108"/>
      <c r="BZ1554" s="108"/>
      <c r="CA1554" s="108"/>
      <c r="CB1554" s="108"/>
      <c r="CC1554" s="108"/>
      <c r="CD1554" s="108"/>
      <c r="CE1554" s="108"/>
      <c r="CF1554" s="108"/>
      <c r="CG1554" s="108"/>
      <c r="CH1554" s="108"/>
      <c r="CI1554" s="108"/>
      <c r="CJ1554" s="108"/>
      <c r="CK1554" s="108"/>
      <c r="CL1554" s="108"/>
      <c r="CM1554" s="108"/>
      <c r="CN1554" s="110"/>
      <c r="CO1554" s="111"/>
      <c r="CP1554" s="110"/>
      <c r="CQ1554" s="111"/>
      <c r="CR1554" s="110"/>
      <c r="CS1554" s="111"/>
      <c r="CT1554" s="112">
        <f t="shared" si="385"/>
        <v>0</v>
      </c>
      <c r="CU1554" s="113"/>
      <c r="CV1554" s="114"/>
      <c r="CW1554" s="115"/>
      <c r="CX1554" s="116"/>
      <c r="CY1554" s="117"/>
      <c r="CZ1554" s="116"/>
      <c r="DA1554" s="113"/>
      <c r="DB1554" s="114"/>
      <c r="DC1554" s="64"/>
      <c r="DD1554" s="118"/>
    </row>
    <row r="1555" spans="1:108" s="119" customFormat="1" ht="22.5" outlineLevel="2">
      <c r="A1555" s="178">
        <v>40502</v>
      </c>
      <c r="B1555" s="164" t="s">
        <v>1768</v>
      </c>
      <c r="C1555" s="164" t="s">
        <v>700</v>
      </c>
      <c r="D1555" s="166" t="s">
        <v>1262</v>
      </c>
      <c r="E1555" s="163"/>
      <c r="F1555" s="105"/>
      <c r="G1555" s="105"/>
      <c r="H1555" s="105">
        <f>31*5</f>
        <v>155</v>
      </c>
      <c r="I1555" s="105">
        <v>31</v>
      </c>
      <c r="J1555" s="105"/>
      <c r="K1555" s="105">
        <v>31</v>
      </c>
      <c r="L1555" s="105"/>
      <c r="M1555" s="105"/>
      <c r="N1555" s="105"/>
      <c r="O1555" s="105"/>
      <c r="P1555" s="105"/>
      <c r="Q1555" s="105"/>
      <c r="R1555" s="105"/>
      <c r="S1555" s="105"/>
      <c r="T1555" s="106"/>
      <c r="U1555" s="130"/>
      <c r="V1555" s="1"/>
      <c r="W1555" s="68">
        <f t="shared" si="380"/>
        <v>0</v>
      </c>
      <c r="X1555" s="68">
        <f t="shared" si="381"/>
        <v>0</v>
      </c>
      <c r="Y1555" s="68">
        <f t="shared" si="382"/>
        <v>0</v>
      </c>
      <c r="Z1555" s="68">
        <f t="shared" si="383"/>
        <v>0</v>
      </c>
      <c r="AA1555" s="68"/>
      <c r="AB1555" s="68">
        <v>0</v>
      </c>
      <c r="AC1555" s="69">
        <f t="shared" si="384"/>
        <v>0</v>
      </c>
      <c r="AD1555" s="70">
        <v>0</v>
      </c>
      <c r="AE1555" s="63">
        <v>40505</v>
      </c>
      <c r="AF1555" s="72"/>
      <c r="AG1555" s="63" t="s">
        <v>938</v>
      </c>
      <c r="AH1555" s="23" t="s">
        <v>939</v>
      </c>
      <c r="AI1555" s="60"/>
      <c r="AJ1555" s="124" t="s">
        <v>1608</v>
      </c>
      <c r="AK1555" s="121" t="s">
        <v>1612</v>
      </c>
      <c r="AL1555" s="107"/>
      <c r="AM1555" s="108"/>
      <c r="AN1555" s="109"/>
      <c r="AO1555" s="108"/>
      <c r="AP1555" s="108"/>
      <c r="AQ1555" s="108"/>
      <c r="AR1555" s="108"/>
      <c r="AS1555" s="108"/>
      <c r="AT1555" s="108"/>
      <c r="AU1555" s="108"/>
      <c r="AV1555" s="108"/>
      <c r="AW1555" s="108"/>
      <c r="AX1555" s="108"/>
      <c r="AY1555" s="108"/>
      <c r="AZ1555" s="108"/>
      <c r="BA1555" s="108"/>
      <c r="BB1555" s="108"/>
      <c r="BC1555" s="108"/>
      <c r="BD1555" s="108"/>
      <c r="BE1555" s="108"/>
      <c r="BF1555" s="108"/>
      <c r="BG1555" s="108"/>
      <c r="BH1555" s="108"/>
      <c r="BI1555" s="108"/>
      <c r="BJ1555" s="108"/>
      <c r="BK1555" s="108"/>
      <c r="BL1555" s="108"/>
      <c r="BM1555" s="108"/>
      <c r="BN1555" s="108"/>
      <c r="BO1555" s="108"/>
      <c r="BP1555" s="108"/>
      <c r="BQ1555" s="108"/>
      <c r="BR1555" s="108"/>
      <c r="BS1555" s="108"/>
      <c r="BT1555" s="108"/>
      <c r="BU1555" s="108"/>
      <c r="BV1555" s="108"/>
      <c r="BW1555" s="108"/>
      <c r="BX1555" s="108"/>
      <c r="BY1555" s="108"/>
      <c r="BZ1555" s="108"/>
      <c r="CA1555" s="108"/>
      <c r="CB1555" s="108"/>
      <c r="CC1555" s="108"/>
      <c r="CD1555" s="108"/>
      <c r="CE1555" s="108"/>
      <c r="CF1555" s="108"/>
      <c r="CG1555" s="108"/>
      <c r="CH1555" s="108"/>
      <c r="CI1555" s="108"/>
      <c r="CJ1555" s="108"/>
      <c r="CK1555" s="108"/>
      <c r="CL1555" s="108"/>
      <c r="CM1555" s="108"/>
      <c r="CN1555" s="110"/>
      <c r="CO1555" s="111"/>
      <c r="CP1555" s="110"/>
      <c r="CQ1555" s="111"/>
      <c r="CR1555" s="110"/>
      <c r="CS1555" s="111"/>
      <c r="CT1555" s="112">
        <f t="shared" si="385"/>
        <v>0</v>
      </c>
      <c r="CU1555" s="113"/>
      <c r="CV1555" s="114"/>
      <c r="CW1555" s="115"/>
      <c r="CX1555" s="116"/>
      <c r="CY1555" s="117"/>
      <c r="CZ1555" s="116"/>
      <c r="DA1555" s="113"/>
      <c r="DB1555" s="114"/>
      <c r="DC1555" s="64"/>
      <c r="DD1555" s="118"/>
    </row>
    <row r="1556" spans="1:108" s="119" customFormat="1" ht="22.5" outlineLevel="2">
      <c r="A1556" s="178">
        <v>40502</v>
      </c>
      <c r="B1556" s="164" t="s">
        <v>1768</v>
      </c>
      <c r="C1556" s="164" t="s">
        <v>1989</v>
      </c>
      <c r="D1556" s="165" t="s">
        <v>1182</v>
      </c>
      <c r="E1556" s="163"/>
      <c r="F1556" s="105"/>
      <c r="G1556" s="105"/>
      <c r="H1556" s="105">
        <v>50</v>
      </c>
      <c r="I1556" s="105">
        <v>10</v>
      </c>
      <c r="J1556" s="105"/>
      <c r="K1556" s="105">
        <v>10</v>
      </c>
      <c r="L1556" s="105"/>
      <c r="M1556" s="105"/>
      <c r="N1556" s="105"/>
      <c r="O1556" s="105"/>
      <c r="P1556" s="105"/>
      <c r="Q1556" s="105"/>
      <c r="R1556" s="105"/>
      <c r="S1556" s="105"/>
      <c r="T1556" s="106"/>
      <c r="U1556" s="130"/>
      <c r="V1556" s="1"/>
      <c r="W1556" s="68">
        <f t="shared" si="380"/>
        <v>0</v>
      </c>
      <c r="X1556" s="68">
        <f t="shared" si="381"/>
        <v>0</v>
      </c>
      <c r="Y1556" s="68">
        <f t="shared" si="382"/>
        <v>0</v>
      </c>
      <c r="Z1556" s="68">
        <f t="shared" si="383"/>
        <v>0</v>
      </c>
      <c r="AA1556" s="68"/>
      <c r="AB1556" s="68">
        <v>0</v>
      </c>
      <c r="AC1556" s="69">
        <f t="shared" si="384"/>
        <v>0</v>
      </c>
      <c r="AD1556" s="70">
        <v>0</v>
      </c>
      <c r="AE1556" s="63">
        <v>40505</v>
      </c>
      <c r="AF1556" s="72"/>
      <c r="AG1556" s="63" t="s">
        <v>938</v>
      </c>
      <c r="AH1556" s="23" t="s">
        <v>939</v>
      </c>
      <c r="AI1556" s="60"/>
      <c r="AJ1556" s="124" t="s">
        <v>1608</v>
      </c>
      <c r="AK1556" s="121" t="s">
        <v>1844</v>
      </c>
      <c r="AL1556" s="107"/>
      <c r="AM1556" s="108"/>
      <c r="AN1556" s="109"/>
      <c r="AO1556" s="108"/>
      <c r="AP1556" s="108"/>
      <c r="AQ1556" s="108"/>
      <c r="AR1556" s="108"/>
      <c r="AS1556" s="108"/>
      <c r="AT1556" s="108"/>
      <c r="AU1556" s="108"/>
      <c r="AV1556" s="108"/>
      <c r="AW1556" s="108"/>
      <c r="AX1556" s="108"/>
      <c r="AY1556" s="108"/>
      <c r="AZ1556" s="108"/>
      <c r="BA1556" s="108"/>
      <c r="BB1556" s="108"/>
      <c r="BC1556" s="108"/>
      <c r="BD1556" s="108"/>
      <c r="BE1556" s="108"/>
      <c r="BF1556" s="108"/>
      <c r="BG1556" s="108"/>
      <c r="BH1556" s="108"/>
      <c r="BI1556" s="108"/>
      <c r="BJ1556" s="108"/>
      <c r="BK1556" s="108"/>
      <c r="BL1556" s="108"/>
      <c r="BM1556" s="108"/>
      <c r="BN1556" s="108"/>
      <c r="BO1556" s="108"/>
      <c r="BP1556" s="108"/>
      <c r="BQ1556" s="108"/>
      <c r="BR1556" s="108"/>
      <c r="BS1556" s="108"/>
      <c r="BT1556" s="108"/>
      <c r="BU1556" s="108"/>
      <c r="BV1556" s="108"/>
      <c r="BW1556" s="108"/>
      <c r="BX1556" s="108"/>
      <c r="BY1556" s="108"/>
      <c r="BZ1556" s="108"/>
      <c r="CA1556" s="108"/>
      <c r="CB1556" s="108"/>
      <c r="CC1556" s="108"/>
      <c r="CD1556" s="108"/>
      <c r="CE1556" s="108"/>
      <c r="CF1556" s="108"/>
      <c r="CG1556" s="108"/>
      <c r="CH1556" s="108"/>
      <c r="CI1556" s="108"/>
      <c r="CJ1556" s="108"/>
      <c r="CK1556" s="108"/>
      <c r="CL1556" s="108"/>
      <c r="CM1556" s="108"/>
      <c r="CN1556" s="110"/>
      <c r="CO1556" s="111"/>
      <c r="CP1556" s="110"/>
      <c r="CQ1556" s="111"/>
      <c r="CR1556" s="110"/>
      <c r="CS1556" s="111"/>
      <c r="CT1556" s="112">
        <f t="shared" si="385"/>
        <v>0</v>
      </c>
      <c r="CU1556" s="113"/>
      <c r="CV1556" s="114"/>
      <c r="CW1556" s="115"/>
      <c r="CX1556" s="116"/>
      <c r="CY1556" s="117"/>
      <c r="CZ1556" s="116"/>
      <c r="DA1556" s="113"/>
      <c r="DB1556" s="114"/>
      <c r="DC1556" s="64"/>
      <c r="DD1556" s="118"/>
    </row>
    <row r="1557" spans="1:108" s="119" customFormat="1" ht="120" outlineLevel="2">
      <c r="A1557" s="178">
        <v>40502</v>
      </c>
      <c r="B1557" s="164" t="s">
        <v>1768</v>
      </c>
      <c r="C1557" s="164" t="s">
        <v>662</v>
      </c>
      <c r="D1557" s="166" t="s">
        <v>1262</v>
      </c>
      <c r="E1557" s="163"/>
      <c r="F1557" s="105"/>
      <c r="G1557" s="105"/>
      <c r="H1557" s="105">
        <f>140*5</f>
        <v>700</v>
      </c>
      <c r="I1557" s="105">
        <v>140</v>
      </c>
      <c r="J1557" s="105"/>
      <c r="K1557" s="105">
        <v>140</v>
      </c>
      <c r="L1557" s="105">
        <v>11</v>
      </c>
      <c r="M1557" s="105"/>
      <c r="N1557" s="105"/>
      <c r="O1557" s="105"/>
      <c r="P1557" s="105"/>
      <c r="Q1557" s="105"/>
      <c r="R1557" s="105"/>
      <c r="S1557" s="105"/>
      <c r="T1557" s="106"/>
      <c r="U1557" s="130"/>
      <c r="V1557" s="1"/>
      <c r="W1557" s="68">
        <f t="shared" si="380"/>
        <v>0</v>
      </c>
      <c r="X1557" s="68">
        <f t="shared" si="381"/>
        <v>0</v>
      </c>
      <c r="Y1557" s="68">
        <f t="shared" si="382"/>
        <v>0</v>
      </c>
      <c r="Z1557" s="68">
        <f t="shared" si="383"/>
        <v>0</v>
      </c>
      <c r="AA1557" s="68"/>
      <c r="AB1557" s="68">
        <v>0</v>
      </c>
      <c r="AC1557" s="69">
        <f t="shared" si="384"/>
        <v>0</v>
      </c>
      <c r="AD1557" s="70">
        <v>0</v>
      </c>
      <c r="AE1557" s="63">
        <v>40504</v>
      </c>
      <c r="AF1557" s="72"/>
      <c r="AG1557" s="63" t="s">
        <v>938</v>
      </c>
      <c r="AH1557" s="23" t="s">
        <v>939</v>
      </c>
      <c r="AI1557" s="60"/>
      <c r="AJ1557" s="124" t="s">
        <v>1608</v>
      </c>
      <c r="AK1557" s="121" t="s">
        <v>2022</v>
      </c>
      <c r="AL1557" s="107"/>
      <c r="AM1557" s="108"/>
      <c r="AN1557" s="109"/>
      <c r="AO1557" s="108"/>
      <c r="AP1557" s="108"/>
      <c r="AQ1557" s="108"/>
      <c r="AR1557" s="108"/>
      <c r="AS1557" s="108"/>
      <c r="AT1557" s="108"/>
      <c r="AU1557" s="108"/>
      <c r="AV1557" s="108"/>
      <c r="AW1557" s="108"/>
      <c r="AX1557" s="108"/>
      <c r="AY1557" s="108"/>
      <c r="AZ1557" s="108"/>
      <c r="BA1557" s="108"/>
      <c r="BB1557" s="108"/>
      <c r="BC1557" s="108"/>
      <c r="BD1557" s="108"/>
      <c r="BE1557" s="108"/>
      <c r="BF1557" s="108"/>
      <c r="BG1557" s="108"/>
      <c r="BH1557" s="108"/>
      <c r="BI1557" s="108"/>
      <c r="BJ1557" s="108"/>
      <c r="BK1557" s="108"/>
      <c r="BL1557" s="108"/>
      <c r="BM1557" s="108"/>
      <c r="BN1557" s="108"/>
      <c r="BO1557" s="108"/>
      <c r="BP1557" s="108"/>
      <c r="BQ1557" s="108"/>
      <c r="BR1557" s="108"/>
      <c r="BS1557" s="108"/>
      <c r="BT1557" s="108"/>
      <c r="BU1557" s="108"/>
      <c r="BV1557" s="108"/>
      <c r="BW1557" s="108"/>
      <c r="BX1557" s="108"/>
      <c r="BY1557" s="108"/>
      <c r="BZ1557" s="108"/>
      <c r="CA1557" s="108"/>
      <c r="CB1557" s="108"/>
      <c r="CC1557" s="108"/>
      <c r="CD1557" s="108"/>
      <c r="CE1557" s="108"/>
      <c r="CF1557" s="108"/>
      <c r="CG1557" s="108"/>
      <c r="CH1557" s="108"/>
      <c r="CI1557" s="108"/>
      <c r="CJ1557" s="108"/>
      <c r="CK1557" s="108"/>
      <c r="CL1557" s="108"/>
      <c r="CM1557" s="108"/>
      <c r="CN1557" s="110"/>
      <c r="CO1557" s="111"/>
      <c r="CP1557" s="110"/>
      <c r="CQ1557" s="111"/>
      <c r="CR1557" s="110"/>
      <c r="CS1557" s="111"/>
      <c r="CT1557" s="112">
        <f t="shared" si="385"/>
        <v>0</v>
      </c>
      <c r="CU1557" s="113"/>
      <c r="CV1557" s="114"/>
      <c r="CW1557" s="115"/>
      <c r="CX1557" s="116"/>
      <c r="CY1557" s="117"/>
      <c r="CZ1557" s="116"/>
      <c r="DA1557" s="113"/>
      <c r="DB1557" s="114"/>
      <c r="DC1557" s="64"/>
      <c r="DD1557" s="118"/>
    </row>
    <row r="1558" spans="1:108" s="119" customFormat="1" ht="22.5" outlineLevel="2">
      <c r="A1558" s="178">
        <v>40504</v>
      </c>
      <c r="B1558" s="164" t="s">
        <v>1768</v>
      </c>
      <c r="C1558" s="164" t="s">
        <v>284</v>
      </c>
      <c r="D1558" s="166" t="s">
        <v>1262</v>
      </c>
      <c r="E1558" s="163"/>
      <c r="F1558" s="105"/>
      <c r="G1558" s="105"/>
      <c r="H1558" s="105">
        <f>500*5</f>
        <v>2500</v>
      </c>
      <c r="I1558" s="105">
        <v>500</v>
      </c>
      <c r="J1558" s="105"/>
      <c r="K1558" s="105">
        <v>500</v>
      </c>
      <c r="L1558" s="105"/>
      <c r="M1558" s="105"/>
      <c r="N1558" s="105"/>
      <c r="O1558" s="105"/>
      <c r="P1558" s="105"/>
      <c r="Q1558" s="105"/>
      <c r="R1558" s="105"/>
      <c r="S1558" s="105"/>
      <c r="T1558" s="106"/>
      <c r="U1558" s="130"/>
      <c r="V1558" s="1">
        <v>40520</v>
      </c>
      <c r="W1558" s="68">
        <f t="shared" si="380"/>
        <v>0</v>
      </c>
      <c r="X1558" s="68">
        <f t="shared" si="381"/>
        <v>42500000</v>
      </c>
      <c r="Y1558" s="68">
        <f t="shared" si="382"/>
        <v>0</v>
      </c>
      <c r="Z1558" s="68">
        <f t="shared" si="383"/>
        <v>0</v>
      </c>
      <c r="AA1558" s="68"/>
      <c r="AB1558" s="68">
        <v>0</v>
      </c>
      <c r="AC1558" s="69">
        <f t="shared" si="384"/>
        <v>42500000</v>
      </c>
      <c r="AD1558" s="70">
        <f>89000000-42500000</f>
        <v>46500000</v>
      </c>
      <c r="AE1558" s="63">
        <v>40506</v>
      </c>
      <c r="AF1558" s="72"/>
      <c r="AG1558" s="63" t="s">
        <v>954</v>
      </c>
      <c r="AH1558" s="23" t="s">
        <v>955</v>
      </c>
      <c r="AI1558" s="60">
        <v>26384</v>
      </c>
      <c r="AJ1558" s="124" t="s">
        <v>1476</v>
      </c>
      <c r="AK1558" s="121" t="s">
        <v>160</v>
      </c>
      <c r="AL1558" s="107"/>
      <c r="AM1558" s="108"/>
      <c r="AN1558" s="109"/>
      <c r="AO1558" s="108"/>
      <c r="AP1558" s="108"/>
      <c r="AQ1558" s="108"/>
      <c r="AR1558" s="108"/>
      <c r="AS1558" s="108"/>
      <c r="AT1558" s="108"/>
      <c r="AU1558" s="108"/>
      <c r="AV1558" s="108"/>
      <c r="AW1558" s="108"/>
      <c r="AX1558" s="108"/>
      <c r="AY1558" s="108"/>
      <c r="AZ1558" s="108"/>
      <c r="BA1558" s="108"/>
      <c r="BB1558" s="108"/>
      <c r="BC1558" s="108"/>
      <c r="BD1558" s="108"/>
      <c r="BE1558" s="108"/>
      <c r="BF1558" s="108"/>
      <c r="BG1558" s="108"/>
      <c r="BH1558" s="108"/>
      <c r="BI1558" s="108"/>
      <c r="BJ1558" s="108"/>
      <c r="BK1558" s="108"/>
      <c r="BL1558" s="108"/>
      <c r="BM1558" s="108"/>
      <c r="BN1558" s="108"/>
      <c r="BO1558" s="108"/>
      <c r="BP1558" s="108"/>
      <c r="BQ1558" s="108"/>
      <c r="BR1558" s="108"/>
      <c r="BS1558" s="108"/>
      <c r="BT1558" s="108"/>
      <c r="BU1558" s="108"/>
      <c r="BV1558" s="108"/>
      <c r="BW1558" s="108"/>
      <c r="BX1558" s="108"/>
      <c r="BY1558" s="108"/>
      <c r="BZ1558" s="108"/>
      <c r="CA1558" s="108"/>
      <c r="CB1558" s="108"/>
      <c r="CC1558" s="108"/>
      <c r="CD1558" s="108"/>
      <c r="CE1558" s="108"/>
      <c r="CF1558" s="108"/>
      <c r="CG1558" s="108"/>
      <c r="CH1558" s="108"/>
      <c r="CI1558" s="108"/>
      <c r="CJ1558" s="108"/>
      <c r="CK1558" s="108"/>
      <c r="CL1558" s="108"/>
      <c r="CM1558" s="108"/>
      <c r="CN1558" s="110"/>
      <c r="CO1558" s="111"/>
      <c r="CP1558" s="110"/>
      <c r="CQ1558" s="111"/>
      <c r="CR1558" s="110"/>
      <c r="CS1558" s="111"/>
      <c r="CT1558" s="112">
        <f t="shared" si="385"/>
        <v>0</v>
      </c>
      <c r="CU1558" s="113"/>
      <c r="CV1558" s="114"/>
      <c r="CW1558" s="115">
        <v>500</v>
      </c>
      <c r="CX1558" s="116">
        <f>500*85000</f>
        <v>42500000</v>
      </c>
      <c r="CY1558" s="117"/>
      <c r="CZ1558" s="116"/>
      <c r="DA1558" s="113"/>
      <c r="DB1558" s="114"/>
      <c r="DC1558" s="64"/>
      <c r="DD1558" s="118"/>
    </row>
    <row r="1559" spans="1:108" s="119" customFormat="1" ht="22.5" outlineLevel="2">
      <c r="A1559" s="178">
        <v>40504</v>
      </c>
      <c r="B1559" s="164" t="s">
        <v>1768</v>
      </c>
      <c r="C1559" s="164" t="s">
        <v>281</v>
      </c>
      <c r="D1559" s="166" t="s">
        <v>1262</v>
      </c>
      <c r="E1559" s="163"/>
      <c r="F1559" s="105"/>
      <c r="G1559" s="105"/>
      <c r="H1559" s="105">
        <f>46*5</f>
        <v>230</v>
      </c>
      <c r="I1559" s="105">
        <v>46</v>
      </c>
      <c r="J1559" s="105"/>
      <c r="K1559" s="105">
        <v>46</v>
      </c>
      <c r="L1559" s="105"/>
      <c r="M1559" s="105"/>
      <c r="N1559" s="105"/>
      <c r="O1559" s="105"/>
      <c r="P1559" s="105"/>
      <c r="Q1559" s="105"/>
      <c r="R1559" s="105"/>
      <c r="S1559" s="105"/>
      <c r="T1559" s="106"/>
      <c r="U1559" s="130"/>
      <c r="V1559" s="1"/>
      <c r="W1559" s="68">
        <f t="shared" si="380"/>
        <v>0</v>
      </c>
      <c r="X1559" s="68">
        <f t="shared" si="381"/>
        <v>0</v>
      </c>
      <c r="Y1559" s="68">
        <f t="shared" si="382"/>
        <v>0</v>
      </c>
      <c r="Z1559" s="68">
        <f t="shared" si="383"/>
        <v>0</v>
      </c>
      <c r="AA1559" s="68"/>
      <c r="AB1559" s="68">
        <v>0</v>
      </c>
      <c r="AC1559" s="69">
        <f t="shared" si="384"/>
        <v>0</v>
      </c>
      <c r="AD1559" s="70">
        <v>4450000</v>
      </c>
      <c r="AE1559" s="63">
        <v>40506</v>
      </c>
      <c r="AF1559" s="72"/>
      <c r="AG1559" s="63" t="s">
        <v>954</v>
      </c>
      <c r="AH1559" s="23" t="s">
        <v>955</v>
      </c>
      <c r="AI1559" s="60"/>
      <c r="AJ1559" s="124" t="s">
        <v>1608</v>
      </c>
      <c r="AK1559" s="121"/>
      <c r="AL1559" s="107"/>
      <c r="AM1559" s="108"/>
      <c r="AN1559" s="109"/>
      <c r="AO1559" s="108"/>
      <c r="AP1559" s="108"/>
      <c r="AQ1559" s="108"/>
      <c r="AR1559" s="108"/>
      <c r="AS1559" s="108"/>
      <c r="AT1559" s="108"/>
      <c r="AU1559" s="108"/>
      <c r="AV1559" s="108"/>
      <c r="AW1559" s="108"/>
      <c r="AX1559" s="108"/>
      <c r="AY1559" s="108"/>
      <c r="AZ1559" s="108"/>
      <c r="BA1559" s="108"/>
      <c r="BB1559" s="108"/>
      <c r="BC1559" s="108"/>
      <c r="BD1559" s="108"/>
      <c r="BE1559" s="108"/>
      <c r="BF1559" s="108"/>
      <c r="BG1559" s="108"/>
      <c r="BH1559" s="108"/>
      <c r="BI1559" s="108"/>
      <c r="BJ1559" s="108"/>
      <c r="BK1559" s="108"/>
      <c r="BL1559" s="108"/>
      <c r="BM1559" s="108"/>
      <c r="BN1559" s="108"/>
      <c r="BO1559" s="108"/>
      <c r="BP1559" s="108"/>
      <c r="BQ1559" s="108"/>
      <c r="BR1559" s="108"/>
      <c r="BS1559" s="108"/>
      <c r="BT1559" s="108"/>
      <c r="BU1559" s="108"/>
      <c r="BV1559" s="108"/>
      <c r="BW1559" s="108"/>
      <c r="BX1559" s="108"/>
      <c r="BY1559" s="108"/>
      <c r="BZ1559" s="108"/>
      <c r="CA1559" s="108"/>
      <c r="CB1559" s="108"/>
      <c r="CC1559" s="108"/>
      <c r="CD1559" s="108"/>
      <c r="CE1559" s="108"/>
      <c r="CF1559" s="108"/>
      <c r="CG1559" s="108"/>
      <c r="CH1559" s="108"/>
      <c r="CI1559" s="108"/>
      <c r="CJ1559" s="108"/>
      <c r="CK1559" s="108"/>
      <c r="CL1559" s="108"/>
      <c r="CM1559" s="108"/>
      <c r="CN1559" s="110"/>
      <c r="CO1559" s="111"/>
      <c r="CP1559" s="110"/>
      <c r="CQ1559" s="111"/>
      <c r="CR1559" s="110"/>
      <c r="CS1559" s="111"/>
      <c r="CT1559" s="112">
        <f t="shared" si="385"/>
        <v>0</v>
      </c>
      <c r="CU1559" s="113"/>
      <c r="CV1559" s="114"/>
      <c r="CW1559" s="115"/>
      <c r="CX1559" s="116"/>
      <c r="CY1559" s="117"/>
      <c r="CZ1559" s="116"/>
      <c r="DA1559" s="113"/>
      <c r="DB1559" s="114"/>
      <c r="DC1559" s="64"/>
      <c r="DD1559" s="118">
        <v>1426</v>
      </c>
    </row>
    <row r="1560" spans="1:108" s="119" customFormat="1" ht="36" outlineLevel="2">
      <c r="A1560" s="178">
        <v>40504</v>
      </c>
      <c r="B1560" s="164" t="s">
        <v>1768</v>
      </c>
      <c r="C1560" s="164" t="s">
        <v>960</v>
      </c>
      <c r="D1560" s="166" t="s">
        <v>1262</v>
      </c>
      <c r="E1560" s="163"/>
      <c r="F1560" s="105"/>
      <c r="G1560" s="105"/>
      <c r="H1560" s="105">
        <v>50</v>
      </c>
      <c r="I1560" s="105">
        <v>10</v>
      </c>
      <c r="J1560" s="105"/>
      <c r="K1560" s="105">
        <v>10</v>
      </c>
      <c r="L1560" s="105"/>
      <c r="M1560" s="105"/>
      <c r="N1560" s="105"/>
      <c r="O1560" s="105"/>
      <c r="P1560" s="105"/>
      <c r="Q1560" s="105"/>
      <c r="R1560" s="105"/>
      <c r="S1560" s="105"/>
      <c r="T1560" s="106"/>
      <c r="U1560" s="130"/>
      <c r="V1560" s="1"/>
      <c r="W1560" s="68">
        <f t="shared" si="380"/>
        <v>0</v>
      </c>
      <c r="X1560" s="68">
        <f t="shared" si="381"/>
        <v>0</v>
      </c>
      <c r="Y1560" s="68">
        <f t="shared" si="382"/>
        <v>0</v>
      </c>
      <c r="Z1560" s="68">
        <f t="shared" si="383"/>
        <v>0</v>
      </c>
      <c r="AA1560" s="68"/>
      <c r="AB1560" s="68">
        <v>0</v>
      </c>
      <c r="AC1560" s="69">
        <f t="shared" si="384"/>
        <v>0</v>
      </c>
      <c r="AD1560" s="70">
        <v>0</v>
      </c>
      <c r="AE1560" s="63">
        <v>40505</v>
      </c>
      <c r="AF1560" s="72"/>
      <c r="AG1560" s="63" t="s">
        <v>938</v>
      </c>
      <c r="AH1560" s="23" t="s">
        <v>939</v>
      </c>
      <c r="AI1560" s="60"/>
      <c r="AJ1560" s="124" t="s">
        <v>1608</v>
      </c>
      <c r="AK1560" s="121" t="s">
        <v>2210</v>
      </c>
      <c r="AL1560" s="107"/>
      <c r="AM1560" s="108"/>
      <c r="AN1560" s="109"/>
      <c r="AO1560" s="108"/>
      <c r="AP1560" s="108"/>
      <c r="AQ1560" s="108"/>
      <c r="AR1560" s="108"/>
      <c r="AS1560" s="108"/>
      <c r="AT1560" s="108"/>
      <c r="AU1560" s="108"/>
      <c r="AV1560" s="108"/>
      <c r="AW1560" s="108"/>
      <c r="AX1560" s="108"/>
      <c r="AY1560" s="108"/>
      <c r="AZ1560" s="108"/>
      <c r="BA1560" s="108"/>
      <c r="BB1560" s="108"/>
      <c r="BC1560" s="108"/>
      <c r="BD1560" s="108"/>
      <c r="BE1560" s="108"/>
      <c r="BF1560" s="108"/>
      <c r="BG1560" s="108"/>
      <c r="BH1560" s="108"/>
      <c r="BI1560" s="108"/>
      <c r="BJ1560" s="108"/>
      <c r="BK1560" s="108"/>
      <c r="BL1560" s="108"/>
      <c r="BM1560" s="108"/>
      <c r="BN1560" s="108"/>
      <c r="BO1560" s="108"/>
      <c r="BP1560" s="108"/>
      <c r="BQ1560" s="108"/>
      <c r="BR1560" s="108"/>
      <c r="BS1560" s="108"/>
      <c r="BT1560" s="108"/>
      <c r="BU1560" s="108"/>
      <c r="BV1560" s="108"/>
      <c r="BW1560" s="108"/>
      <c r="BX1560" s="108"/>
      <c r="BY1560" s="108"/>
      <c r="BZ1560" s="108"/>
      <c r="CA1560" s="108"/>
      <c r="CB1560" s="108"/>
      <c r="CC1560" s="108"/>
      <c r="CD1560" s="108"/>
      <c r="CE1560" s="108"/>
      <c r="CF1560" s="108"/>
      <c r="CG1560" s="108"/>
      <c r="CH1560" s="108"/>
      <c r="CI1560" s="108"/>
      <c r="CJ1560" s="108"/>
      <c r="CK1560" s="108"/>
      <c r="CL1560" s="108"/>
      <c r="CM1560" s="108"/>
      <c r="CN1560" s="110"/>
      <c r="CO1560" s="111"/>
      <c r="CP1560" s="110"/>
      <c r="CQ1560" s="111"/>
      <c r="CR1560" s="110"/>
      <c r="CS1560" s="111"/>
      <c r="CT1560" s="112">
        <f t="shared" si="385"/>
        <v>0</v>
      </c>
      <c r="CU1560" s="113"/>
      <c r="CV1560" s="114"/>
      <c r="CW1560" s="115"/>
      <c r="CX1560" s="116"/>
      <c r="CY1560" s="117"/>
      <c r="CZ1560" s="116"/>
      <c r="DA1560" s="113"/>
      <c r="DB1560" s="114"/>
      <c r="DC1560" s="64"/>
      <c r="DD1560" s="118"/>
    </row>
    <row r="1561" spans="1:108" s="119" customFormat="1" ht="24" outlineLevel="2">
      <c r="A1561" s="178">
        <v>40504</v>
      </c>
      <c r="B1561" s="164" t="s">
        <v>1768</v>
      </c>
      <c r="C1561" s="164" t="s">
        <v>642</v>
      </c>
      <c r="D1561" s="165" t="s">
        <v>1182</v>
      </c>
      <c r="E1561" s="163"/>
      <c r="F1561" s="105"/>
      <c r="G1561" s="105"/>
      <c r="H1561" s="105">
        <v>25</v>
      </c>
      <c r="I1561" s="105">
        <v>5</v>
      </c>
      <c r="J1561" s="105"/>
      <c r="K1561" s="105">
        <v>5</v>
      </c>
      <c r="L1561" s="105"/>
      <c r="M1561" s="105"/>
      <c r="N1561" s="105"/>
      <c r="O1561" s="105"/>
      <c r="P1561" s="105"/>
      <c r="Q1561" s="105"/>
      <c r="R1561" s="105"/>
      <c r="S1561" s="105"/>
      <c r="T1561" s="106"/>
      <c r="U1561" s="130"/>
      <c r="V1561" s="1"/>
      <c r="W1561" s="68">
        <f t="shared" si="380"/>
        <v>0</v>
      </c>
      <c r="X1561" s="68">
        <f t="shared" si="381"/>
        <v>0</v>
      </c>
      <c r="Y1561" s="68">
        <f t="shared" si="382"/>
        <v>0</v>
      </c>
      <c r="Z1561" s="68">
        <f t="shared" si="383"/>
        <v>0</v>
      </c>
      <c r="AA1561" s="68"/>
      <c r="AB1561" s="68">
        <v>0</v>
      </c>
      <c r="AC1561" s="69">
        <f t="shared" si="384"/>
        <v>0</v>
      </c>
      <c r="AD1561" s="70">
        <v>0</v>
      </c>
      <c r="AE1561" s="63">
        <v>40505</v>
      </c>
      <c r="AF1561" s="72"/>
      <c r="AG1561" s="63" t="s">
        <v>938</v>
      </c>
      <c r="AH1561" s="23" t="s">
        <v>939</v>
      </c>
      <c r="AI1561" s="60"/>
      <c r="AJ1561" s="124" t="s">
        <v>1608</v>
      </c>
      <c r="AK1561" s="121" t="s">
        <v>698</v>
      </c>
      <c r="AL1561" s="107"/>
      <c r="AM1561" s="108"/>
      <c r="AN1561" s="109"/>
      <c r="AO1561" s="108"/>
      <c r="AP1561" s="108"/>
      <c r="AQ1561" s="108"/>
      <c r="AR1561" s="108"/>
      <c r="AS1561" s="108"/>
      <c r="AT1561" s="108"/>
      <c r="AU1561" s="108"/>
      <c r="AV1561" s="108"/>
      <c r="AW1561" s="108"/>
      <c r="AX1561" s="108"/>
      <c r="AY1561" s="108"/>
      <c r="AZ1561" s="108"/>
      <c r="BA1561" s="108"/>
      <c r="BB1561" s="108"/>
      <c r="BC1561" s="108"/>
      <c r="BD1561" s="108"/>
      <c r="BE1561" s="108"/>
      <c r="BF1561" s="108"/>
      <c r="BG1561" s="108"/>
      <c r="BH1561" s="108"/>
      <c r="BI1561" s="108"/>
      <c r="BJ1561" s="108"/>
      <c r="BK1561" s="108"/>
      <c r="BL1561" s="108"/>
      <c r="BM1561" s="108"/>
      <c r="BN1561" s="108"/>
      <c r="BO1561" s="108"/>
      <c r="BP1561" s="108"/>
      <c r="BQ1561" s="108"/>
      <c r="BR1561" s="108"/>
      <c r="BS1561" s="108"/>
      <c r="BT1561" s="108"/>
      <c r="BU1561" s="108"/>
      <c r="BV1561" s="108"/>
      <c r="BW1561" s="108"/>
      <c r="BX1561" s="108"/>
      <c r="BY1561" s="108"/>
      <c r="BZ1561" s="108"/>
      <c r="CA1561" s="108"/>
      <c r="CB1561" s="108"/>
      <c r="CC1561" s="108"/>
      <c r="CD1561" s="108"/>
      <c r="CE1561" s="108"/>
      <c r="CF1561" s="108"/>
      <c r="CG1561" s="108"/>
      <c r="CH1561" s="108"/>
      <c r="CI1561" s="108"/>
      <c r="CJ1561" s="108"/>
      <c r="CK1561" s="108"/>
      <c r="CL1561" s="108"/>
      <c r="CM1561" s="108"/>
      <c r="CN1561" s="110"/>
      <c r="CO1561" s="111"/>
      <c r="CP1561" s="110"/>
      <c r="CQ1561" s="111"/>
      <c r="CR1561" s="110"/>
      <c r="CS1561" s="111"/>
      <c r="CT1561" s="112">
        <f t="shared" si="385"/>
        <v>0</v>
      </c>
      <c r="CU1561" s="113"/>
      <c r="CV1561" s="114"/>
      <c r="CW1561" s="115"/>
      <c r="CX1561" s="116"/>
      <c r="CY1561" s="117"/>
      <c r="CZ1561" s="116"/>
      <c r="DA1561" s="113"/>
      <c r="DB1561" s="114"/>
      <c r="DC1561" s="64"/>
      <c r="DD1561" s="118"/>
    </row>
    <row r="1562" spans="1:108" s="119" customFormat="1" ht="24" outlineLevel="2">
      <c r="A1562" s="178">
        <v>40506</v>
      </c>
      <c r="B1562" s="164" t="s">
        <v>1768</v>
      </c>
      <c r="C1562" s="164" t="s">
        <v>323</v>
      </c>
      <c r="D1562" s="166" t="s">
        <v>1262</v>
      </c>
      <c r="E1562" s="163"/>
      <c r="F1562" s="105"/>
      <c r="G1562" s="105"/>
      <c r="H1562" s="105">
        <f>128*5</f>
        <v>640</v>
      </c>
      <c r="I1562" s="105">
        <v>128</v>
      </c>
      <c r="J1562" s="105"/>
      <c r="K1562" s="105">
        <v>128</v>
      </c>
      <c r="L1562" s="105"/>
      <c r="M1562" s="105"/>
      <c r="N1562" s="105"/>
      <c r="O1562" s="105"/>
      <c r="P1562" s="105"/>
      <c r="Q1562" s="105"/>
      <c r="R1562" s="105"/>
      <c r="S1562" s="105"/>
      <c r="T1562" s="106"/>
      <c r="U1562" s="130"/>
      <c r="V1562" s="1"/>
      <c r="W1562" s="68">
        <f t="shared" si="380"/>
        <v>0</v>
      </c>
      <c r="X1562" s="68">
        <f t="shared" si="381"/>
        <v>0</v>
      </c>
      <c r="Y1562" s="68">
        <f t="shared" si="382"/>
        <v>0</v>
      </c>
      <c r="Z1562" s="68">
        <f t="shared" si="383"/>
        <v>0</v>
      </c>
      <c r="AA1562" s="68"/>
      <c r="AB1562" s="68">
        <v>0</v>
      </c>
      <c r="AC1562" s="69">
        <f t="shared" si="384"/>
        <v>0</v>
      </c>
      <c r="AD1562" s="70">
        <v>0</v>
      </c>
      <c r="AE1562" s="63">
        <v>40508</v>
      </c>
      <c r="AF1562" s="72"/>
      <c r="AG1562" s="63" t="s">
        <v>938</v>
      </c>
      <c r="AH1562" s="23" t="s">
        <v>939</v>
      </c>
      <c r="AI1562" s="60"/>
      <c r="AJ1562" s="124" t="s">
        <v>1608</v>
      </c>
      <c r="AK1562" s="121" t="s">
        <v>324</v>
      </c>
      <c r="AL1562" s="107"/>
      <c r="AM1562" s="108"/>
      <c r="AN1562" s="109"/>
      <c r="AO1562" s="108"/>
      <c r="AP1562" s="108"/>
      <c r="AQ1562" s="108"/>
      <c r="AR1562" s="108"/>
      <c r="AS1562" s="108"/>
      <c r="AT1562" s="108"/>
      <c r="AU1562" s="108"/>
      <c r="AV1562" s="108"/>
      <c r="AW1562" s="108"/>
      <c r="AX1562" s="108"/>
      <c r="AY1562" s="108"/>
      <c r="AZ1562" s="108"/>
      <c r="BA1562" s="108"/>
      <c r="BB1562" s="108"/>
      <c r="BC1562" s="108"/>
      <c r="BD1562" s="108"/>
      <c r="BE1562" s="108"/>
      <c r="BF1562" s="108"/>
      <c r="BG1562" s="108"/>
      <c r="BH1562" s="108"/>
      <c r="BI1562" s="108"/>
      <c r="BJ1562" s="108"/>
      <c r="BK1562" s="108"/>
      <c r="BL1562" s="108"/>
      <c r="BM1562" s="108"/>
      <c r="BN1562" s="108"/>
      <c r="BO1562" s="108"/>
      <c r="BP1562" s="108"/>
      <c r="BQ1562" s="108"/>
      <c r="BR1562" s="108"/>
      <c r="BS1562" s="108"/>
      <c r="BT1562" s="108"/>
      <c r="BU1562" s="108"/>
      <c r="BV1562" s="108"/>
      <c r="BW1562" s="108"/>
      <c r="BX1562" s="108"/>
      <c r="BY1562" s="108"/>
      <c r="BZ1562" s="108"/>
      <c r="CA1562" s="108"/>
      <c r="CB1562" s="108"/>
      <c r="CC1562" s="108"/>
      <c r="CD1562" s="108"/>
      <c r="CE1562" s="108"/>
      <c r="CF1562" s="108"/>
      <c r="CG1562" s="108"/>
      <c r="CH1562" s="108"/>
      <c r="CI1562" s="108"/>
      <c r="CJ1562" s="108"/>
      <c r="CK1562" s="108"/>
      <c r="CL1562" s="108"/>
      <c r="CM1562" s="108"/>
      <c r="CN1562" s="110"/>
      <c r="CO1562" s="111"/>
      <c r="CP1562" s="110"/>
      <c r="CQ1562" s="111"/>
      <c r="CR1562" s="110"/>
      <c r="CS1562" s="111"/>
      <c r="CT1562" s="112">
        <f t="shared" si="385"/>
        <v>0</v>
      </c>
      <c r="CU1562" s="113"/>
      <c r="CV1562" s="114"/>
      <c r="CW1562" s="115"/>
      <c r="CX1562" s="116"/>
      <c r="CY1562" s="117"/>
      <c r="CZ1562" s="116"/>
      <c r="DA1562" s="113"/>
      <c r="DB1562" s="114"/>
      <c r="DC1562" s="64"/>
      <c r="DD1562" s="118"/>
    </row>
    <row r="1563" spans="1:108" s="119" customFormat="1" ht="24" outlineLevel="2">
      <c r="A1563" s="178">
        <v>40506</v>
      </c>
      <c r="B1563" s="164" t="s">
        <v>1768</v>
      </c>
      <c r="C1563" s="164" t="s">
        <v>973</v>
      </c>
      <c r="D1563" s="166" t="s">
        <v>1262</v>
      </c>
      <c r="E1563" s="163"/>
      <c r="F1563" s="105"/>
      <c r="G1563" s="105"/>
      <c r="H1563" s="105">
        <f>53*5</f>
        <v>265</v>
      </c>
      <c r="I1563" s="105">
        <v>53</v>
      </c>
      <c r="J1563" s="105"/>
      <c r="K1563" s="105">
        <v>53</v>
      </c>
      <c r="L1563" s="105"/>
      <c r="M1563" s="105"/>
      <c r="N1563" s="105"/>
      <c r="O1563" s="105"/>
      <c r="P1563" s="105"/>
      <c r="Q1563" s="105"/>
      <c r="R1563" s="105"/>
      <c r="S1563" s="105"/>
      <c r="T1563" s="106"/>
      <c r="U1563" s="130"/>
      <c r="V1563" s="1"/>
      <c r="W1563" s="68">
        <f t="shared" si="380"/>
        <v>0</v>
      </c>
      <c r="X1563" s="68">
        <f t="shared" si="381"/>
        <v>0</v>
      </c>
      <c r="Y1563" s="68">
        <f t="shared" si="382"/>
        <v>0</v>
      </c>
      <c r="Z1563" s="68">
        <f t="shared" si="383"/>
        <v>0</v>
      </c>
      <c r="AA1563" s="68"/>
      <c r="AB1563" s="68">
        <v>0</v>
      </c>
      <c r="AC1563" s="69">
        <f t="shared" si="384"/>
        <v>0</v>
      </c>
      <c r="AD1563" s="70">
        <v>0</v>
      </c>
      <c r="AE1563" s="63">
        <v>40508</v>
      </c>
      <c r="AF1563" s="72"/>
      <c r="AG1563" s="63" t="s">
        <v>938</v>
      </c>
      <c r="AH1563" s="23" t="s">
        <v>939</v>
      </c>
      <c r="AI1563" s="60"/>
      <c r="AJ1563" s="124" t="s">
        <v>1608</v>
      </c>
      <c r="AK1563" s="121" t="s">
        <v>322</v>
      </c>
      <c r="AL1563" s="107"/>
      <c r="AM1563" s="108"/>
      <c r="AN1563" s="109"/>
      <c r="AO1563" s="108"/>
      <c r="AP1563" s="108"/>
      <c r="AQ1563" s="108"/>
      <c r="AR1563" s="108"/>
      <c r="AS1563" s="108"/>
      <c r="AT1563" s="108"/>
      <c r="AU1563" s="108"/>
      <c r="AV1563" s="108"/>
      <c r="AW1563" s="108"/>
      <c r="AX1563" s="108"/>
      <c r="AY1563" s="108"/>
      <c r="AZ1563" s="108"/>
      <c r="BA1563" s="108"/>
      <c r="BB1563" s="108"/>
      <c r="BC1563" s="108"/>
      <c r="BD1563" s="108"/>
      <c r="BE1563" s="108"/>
      <c r="BF1563" s="108"/>
      <c r="BG1563" s="108"/>
      <c r="BH1563" s="108"/>
      <c r="BI1563" s="108"/>
      <c r="BJ1563" s="108"/>
      <c r="BK1563" s="108"/>
      <c r="BL1563" s="108"/>
      <c r="BM1563" s="108"/>
      <c r="BN1563" s="108"/>
      <c r="BO1563" s="108"/>
      <c r="BP1563" s="108"/>
      <c r="BQ1563" s="108"/>
      <c r="BR1563" s="108"/>
      <c r="BS1563" s="108"/>
      <c r="BT1563" s="108"/>
      <c r="BU1563" s="108"/>
      <c r="BV1563" s="108"/>
      <c r="BW1563" s="108"/>
      <c r="BX1563" s="108"/>
      <c r="BY1563" s="108"/>
      <c r="BZ1563" s="108"/>
      <c r="CA1563" s="108"/>
      <c r="CB1563" s="108"/>
      <c r="CC1563" s="108"/>
      <c r="CD1563" s="108"/>
      <c r="CE1563" s="108"/>
      <c r="CF1563" s="108"/>
      <c r="CG1563" s="108"/>
      <c r="CH1563" s="108"/>
      <c r="CI1563" s="108"/>
      <c r="CJ1563" s="108"/>
      <c r="CK1563" s="108"/>
      <c r="CL1563" s="108"/>
      <c r="CM1563" s="108"/>
      <c r="CN1563" s="110"/>
      <c r="CO1563" s="111"/>
      <c r="CP1563" s="110"/>
      <c r="CQ1563" s="111"/>
      <c r="CR1563" s="110"/>
      <c r="CS1563" s="111"/>
      <c r="CT1563" s="112">
        <f t="shared" si="385"/>
        <v>0</v>
      </c>
      <c r="CU1563" s="113"/>
      <c r="CV1563" s="114"/>
      <c r="CW1563" s="115"/>
      <c r="CX1563" s="116"/>
      <c r="CY1563" s="117"/>
      <c r="CZ1563" s="116"/>
      <c r="DA1563" s="113"/>
      <c r="DB1563" s="114"/>
      <c r="DC1563" s="64"/>
      <c r="DD1563" s="118"/>
    </row>
    <row r="1564" spans="1:108" s="119" customFormat="1" ht="36" outlineLevel="2">
      <c r="A1564" s="178">
        <v>40507</v>
      </c>
      <c r="B1564" s="164" t="s">
        <v>1768</v>
      </c>
      <c r="C1564" s="164" t="s">
        <v>1622</v>
      </c>
      <c r="D1564" s="166" t="s">
        <v>1262</v>
      </c>
      <c r="E1564" s="163"/>
      <c r="F1564" s="105"/>
      <c r="G1564" s="105"/>
      <c r="H1564" s="105">
        <v>1000</v>
      </c>
      <c r="I1564" s="105">
        <v>200</v>
      </c>
      <c r="J1564" s="105"/>
      <c r="K1564" s="105">
        <v>200</v>
      </c>
      <c r="L1564" s="105"/>
      <c r="M1564" s="105"/>
      <c r="N1564" s="105"/>
      <c r="O1564" s="105"/>
      <c r="P1564" s="105"/>
      <c r="Q1564" s="105"/>
      <c r="R1564" s="105"/>
      <c r="S1564" s="105"/>
      <c r="T1564" s="106"/>
      <c r="U1564" s="130"/>
      <c r="V1564" s="1"/>
      <c r="W1564" s="68">
        <f t="shared" si="380"/>
        <v>0</v>
      </c>
      <c r="X1564" s="68">
        <f t="shared" si="381"/>
        <v>0</v>
      </c>
      <c r="Y1564" s="68">
        <f t="shared" si="382"/>
        <v>0</v>
      </c>
      <c r="Z1564" s="68">
        <f t="shared" si="383"/>
        <v>0</v>
      </c>
      <c r="AA1564" s="68"/>
      <c r="AB1564" s="68">
        <v>0</v>
      </c>
      <c r="AC1564" s="69">
        <f t="shared" si="384"/>
        <v>0</v>
      </c>
      <c r="AD1564" s="70">
        <v>0</v>
      </c>
      <c r="AE1564" s="63">
        <v>40508</v>
      </c>
      <c r="AF1564" s="72"/>
      <c r="AG1564" s="63" t="s">
        <v>938</v>
      </c>
      <c r="AH1564" s="23" t="s">
        <v>939</v>
      </c>
      <c r="AI1564" s="60"/>
      <c r="AJ1564" s="124" t="s">
        <v>1608</v>
      </c>
      <c r="AK1564" s="121" t="s">
        <v>327</v>
      </c>
      <c r="AL1564" s="107"/>
      <c r="AM1564" s="108"/>
      <c r="AN1564" s="109"/>
      <c r="AO1564" s="108"/>
      <c r="AP1564" s="108"/>
      <c r="AQ1564" s="108"/>
      <c r="AR1564" s="108"/>
      <c r="AS1564" s="108"/>
      <c r="AT1564" s="108"/>
      <c r="AU1564" s="108"/>
      <c r="AV1564" s="108"/>
      <c r="AW1564" s="108"/>
      <c r="AX1564" s="108"/>
      <c r="AY1564" s="108"/>
      <c r="AZ1564" s="108"/>
      <c r="BA1564" s="108"/>
      <c r="BB1564" s="108"/>
      <c r="BC1564" s="108"/>
      <c r="BD1564" s="108"/>
      <c r="BE1564" s="108"/>
      <c r="BF1564" s="108"/>
      <c r="BG1564" s="108"/>
      <c r="BH1564" s="108"/>
      <c r="BI1564" s="108"/>
      <c r="BJ1564" s="108"/>
      <c r="BK1564" s="108"/>
      <c r="BL1564" s="108"/>
      <c r="BM1564" s="108"/>
      <c r="BN1564" s="108"/>
      <c r="BO1564" s="108"/>
      <c r="BP1564" s="108"/>
      <c r="BQ1564" s="108"/>
      <c r="BR1564" s="108"/>
      <c r="BS1564" s="108"/>
      <c r="BT1564" s="108"/>
      <c r="BU1564" s="108"/>
      <c r="BV1564" s="108"/>
      <c r="BW1564" s="108"/>
      <c r="BX1564" s="108"/>
      <c r="BY1564" s="108"/>
      <c r="BZ1564" s="108"/>
      <c r="CA1564" s="108"/>
      <c r="CB1564" s="108"/>
      <c r="CC1564" s="108"/>
      <c r="CD1564" s="108"/>
      <c r="CE1564" s="108"/>
      <c r="CF1564" s="108"/>
      <c r="CG1564" s="108"/>
      <c r="CH1564" s="108"/>
      <c r="CI1564" s="108"/>
      <c r="CJ1564" s="108"/>
      <c r="CK1564" s="108"/>
      <c r="CL1564" s="108"/>
      <c r="CM1564" s="108"/>
      <c r="CN1564" s="110"/>
      <c r="CO1564" s="111"/>
      <c r="CP1564" s="110"/>
      <c r="CQ1564" s="111"/>
      <c r="CR1564" s="110"/>
      <c r="CS1564" s="111"/>
      <c r="CT1564" s="112">
        <f t="shared" si="385"/>
        <v>0</v>
      </c>
      <c r="CU1564" s="113"/>
      <c r="CV1564" s="114"/>
      <c r="CW1564" s="115"/>
      <c r="CX1564" s="116"/>
      <c r="CY1564" s="117"/>
      <c r="CZ1564" s="116"/>
      <c r="DA1564" s="113"/>
      <c r="DB1564" s="114"/>
      <c r="DC1564" s="64"/>
      <c r="DD1564" s="118"/>
    </row>
    <row r="1565" spans="1:108" s="119" customFormat="1" ht="36" outlineLevel="2">
      <c r="A1565" s="178">
        <v>40511</v>
      </c>
      <c r="B1565" s="164" t="s">
        <v>1768</v>
      </c>
      <c r="C1565" s="164" t="s">
        <v>930</v>
      </c>
      <c r="D1565" s="166" t="s">
        <v>1262</v>
      </c>
      <c r="E1565" s="163"/>
      <c r="F1565" s="105"/>
      <c r="G1565" s="105"/>
      <c r="H1565" s="105">
        <v>120</v>
      </c>
      <c r="I1565" s="105">
        <v>24</v>
      </c>
      <c r="J1565" s="105"/>
      <c r="K1565" s="105">
        <v>24</v>
      </c>
      <c r="L1565" s="105"/>
      <c r="M1565" s="105"/>
      <c r="N1565" s="105"/>
      <c r="O1565" s="105"/>
      <c r="P1565" s="105"/>
      <c r="Q1565" s="105"/>
      <c r="R1565" s="105"/>
      <c r="S1565" s="105"/>
      <c r="T1565" s="106"/>
      <c r="U1565" s="130"/>
      <c r="V1565" s="1"/>
      <c r="W1565" s="68">
        <f t="shared" si="380"/>
        <v>0</v>
      </c>
      <c r="X1565" s="68">
        <f t="shared" si="381"/>
        <v>0</v>
      </c>
      <c r="Y1565" s="68">
        <f t="shared" si="382"/>
        <v>0</v>
      </c>
      <c r="Z1565" s="68">
        <f t="shared" si="383"/>
        <v>0</v>
      </c>
      <c r="AA1565" s="68"/>
      <c r="AB1565" s="68">
        <v>0</v>
      </c>
      <c r="AC1565" s="69">
        <f t="shared" si="384"/>
        <v>0</v>
      </c>
      <c r="AD1565" s="70">
        <v>0</v>
      </c>
      <c r="AE1565" s="63"/>
      <c r="AF1565" s="72"/>
      <c r="AG1565" s="63"/>
      <c r="AH1565" s="23"/>
      <c r="AI1565" s="60"/>
      <c r="AJ1565" s="124"/>
      <c r="AK1565" s="121" t="s">
        <v>2129</v>
      </c>
      <c r="AL1565" s="107"/>
      <c r="AM1565" s="108"/>
      <c r="AN1565" s="109"/>
      <c r="AO1565" s="108"/>
      <c r="AP1565" s="108"/>
      <c r="AQ1565" s="108"/>
      <c r="AR1565" s="108"/>
      <c r="AS1565" s="108"/>
      <c r="AT1565" s="108"/>
      <c r="AU1565" s="108"/>
      <c r="AV1565" s="108"/>
      <c r="AW1565" s="108"/>
      <c r="AX1565" s="108"/>
      <c r="AY1565" s="108"/>
      <c r="AZ1565" s="108"/>
      <c r="BA1565" s="108"/>
      <c r="BB1565" s="108"/>
      <c r="BC1565" s="108"/>
      <c r="BD1565" s="108"/>
      <c r="BE1565" s="108"/>
      <c r="BF1565" s="108"/>
      <c r="BG1565" s="108"/>
      <c r="BH1565" s="108"/>
      <c r="BI1565" s="108"/>
      <c r="BJ1565" s="108"/>
      <c r="BK1565" s="108"/>
      <c r="BL1565" s="108"/>
      <c r="BM1565" s="108"/>
      <c r="BN1565" s="108"/>
      <c r="BO1565" s="108"/>
      <c r="BP1565" s="108"/>
      <c r="BQ1565" s="108"/>
      <c r="BR1565" s="108"/>
      <c r="BS1565" s="108"/>
      <c r="BT1565" s="108"/>
      <c r="BU1565" s="108"/>
      <c r="BV1565" s="108"/>
      <c r="BW1565" s="108"/>
      <c r="BX1565" s="108"/>
      <c r="BY1565" s="108"/>
      <c r="BZ1565" s="108"/>
      <c r="CA1565" s="108"/>
      <c r="CB1565" s="108"/>
      <c r="CC1565" s="108"/>
      <c r="CD1565" s="108"/>
      <c r="CE1565" s="108"/>
      <c r="CF1565" s="108"/>
      <c r="CG1565" s="108"/>
      <c r="CH1565" s="108"/>
      <c r="CI1565" s="108"/>
      <c r="CJ1565" s="108"/>
      <c r="CK1565" s="108"/>
      <c r="CL1565" s="108"/>
      <c r="CM1565" s="108"/>
      <c r="CN1565" s="110"/>
      <c r="CO1565" s="111"/>
      <c r="CP1565" s="110"/>
      <c r="CQ1565" s="111"/>
      <c r="CR1565" s="110"/>
      <c r="CS1565" s="111"/>
      <c r="CT1565" s="112">
        <f t="shared" si="385"/>
        <v>0</v>
      </c>
      <c r="CU1565" s="113"/>
      <c r="CV1565" s="114"/>
      <c r="CW1565" s="115"/>
      <c r="CX1565" s="116"/>
      <c r="CY1565" s="117"/>
      <c r="CZ1565" s="116"/>
      <c r="DA1565" s="113"/>
      <c r="DB1565" s="114"/>
      <c r="DC1565" s="64"/>
      <c r="DD1565" s="118"/>
    </row>
    <row r="1566" spans="1:108" s="119" customFormat="1" ht="48" outlineLevel="2">
      <c r="A1566" s="178">
        <v>40511</v>
      </c>
      <c r="B1566" s="164" t="s">
        <v>1768</v>
      </c>
      <c r="C1566" s="164" t="s">
        <v>1693</v>
      </c>
      <c r="D1566" s="166" t="s">
        <v>1262</v>
      </c>
      <c r="E1566" s="163"/>
      <c r="F1566" s="105"/>
      <c r="G1566" s="105"/>
      <c r="H1566" s="105">
        <v>40</v>
      </c>
      <c r="I1566" s="105">
        <v>8</v>
      </c>
      <c r="J1566" s="105"/>
      <c r="K1566" s="105">
        <v>8</v>
      </c>
      <c r="L1566" s="105"/>
      <c r="M1566" s="105"/>
      <c r="N1566" s="105"/>
      <c r="O1566" s="105"/>
      <c r="P1566" s="105"/>
      <c r="Q1566" s="105"/>
      <c r="R1566" s="105"/>
      <c r="S1566" s="105">
        <v>1</v>
      </c>
      <c r="T1566" s="106"/>
      <c r="U1566" s="130" t="s">
        <v>2130</v>
      </c>
      <c r="V1566" s="1"/>
      <c r="W1566" s="68">
        <f t="shared" si="380"/>
        <v>0</v>
      </c>
      <c r="X1566" s="68">
        <f t="shared" si="381"/>
        <v>0</v>
      </c>
      <c r="Y1566" s="68">
        <f t="shared" si="382"/>
        <v>0</v>
      </c>
      <c r="Z1566" s="68">
        <f t="shared" si="383"/>
        <v>0</v>
      </c>
      <c r="AA1566" s="68"/>
      <c r="AB1566" s="68">
        <v>0</v>
      </c>
      <c r="AC1566" s="69">
        <f t="shared" si="384"/>
        <v>0</v>
      </c>
      <c r="AD1566" s="70">
        <v>0</v>
      </c>
      <c r="AE1566" s="63"/>
      <c r="AF1566" s="72"/>
      <c r="AG1566" s="63"/>
      <c r="AH1566" s="23"/>
      <c r="AI1566" s="60"/>
      <c r="AJ1566" s="124"/>
      <c r="AK1566" s="121" t="s">
        <v>2216</v>
      </c>
      <c r="AL1566" s="107"/>
      <c r="AM1566" s="108"/>
      <c r="AN1566" s="109"/>
      <c r="AO1566" s="108"/>
      <c r="AP1566" s="108"/>
      <c r="AQ1566" s="108"/>
      <c r="AR1566" s="108"/>
      <c r="AS1566" s="108"/>
      <c r="AT1566" s="108"/>
      <c r="AU1566" s="108"/>
      <c r="AV1566" s="108"/>
      <c r="AW1566" s="108"/>
      <c r="AX1566" s="108"/>
      <c r="AY1566" s="108"/>
      <c r="AZ1566" s="108"/>
      <c r="BA1566" s="108"/>
      <c r="BB1566" s="108"/>
      <c r="BC1566" s="108"/>
      <c r="BD1566" s="108"/>
      <c r="BE1566" s="108"/>
      <c r="BF1566" s="108"/>
      <c r="BG1566" s="108"/>
      <c r="BH1566" s="108"/>
      <c r="BI1566" s="108"/>
      <c r="BJ1566" s="108"/>
      <c r="BK1566" s="108"/>
      <c r="BL1566" s="108"/>
      <c r="BM1566" s="108"/>
      <c r="BN1566" s="108"/>
      <c r="BO1566" s="108"/>
      <c r="BP1566" s="108"/>
      <c r="BQ1566" s="108"/>
      <c r="BR1566" s="108"/>
      <c r="BS1566" s="108"/>
      <c r="BT1566" s="108"/>
      <c r="BU1566" s="108"/>
      <c r="BV1566" s="108"/>
      <c r="BW1566" s="108"/>
      <c r="BX1566" s="108"/>
      <c r="BY1566" s="108"/>
      <c r="BZ1566" s="108"/>
      <c r="CA1566" s="108"/>
      <c r="CB1566" s="108"/>
      <c r="CC1566" s="108"/>
      <c r="CD1566" s="108"/>
      <c r="CE1566" s="108"/>
      <c r="CF1566" s="108"/>
      <c r="CG1566" s="108"/>
      <c r="CH1566" s="108"/>
      <c r="CI1566" s="108"/>
      <c r="CJ1566" s="108"/>
      <c r="CK1566" s="108"/>
      <c r="CL1566" s="108"/>
      <c r="CM1566" s="108"/>
      <c r="CN1566" s="110"/>
      <c r="CO1566" s="111"/>
      <c r="CP1566" s="110"/>
      <c r="CQ1566" s="111"/>
      <c r="CR1566" s="110"/>
      <c r="CS1566" s="111"/>
      <c r="CT1566" s="112">
        <f t="shared" si="385"/>
        <v>0</v>
      </c>
      <c r="CU1566" s="113"/>
      <c r="CV1566" s="114"/>
      <c r="CW1566" s="115"/>
      <c r="CX1566" s="116"/>
      <c r="CY1566" s="117"/>
      <c r="CZ1566" s="116"/>
      <c r="DA1566" s="113"/>
      <c r="DB1566" s="114"/>
      <c r="DC1566" s="64"/>
      <c r="DD1566" s="118"/>
    </row>
    <row r="1567" spans="1:108" s="119" customFormat="1" ht="36" outlineLevel="2">
      <c r="A1567" s="178">
        <v>40512</v>
      </c>
      <c r="B1567" s="164" t="s">
        <v>1768</v>
      </c>
      <c r="C1567" s="164" t="s">
        <v>1769</v>
      </c>
      <c r="D1567" s="166" t="s">
        <v>1182</v>
      </c>
      <c r="E1567" s="163"/>
      <c r="F1567" s="105"/>
      <c r="G1567" s="105"/>
      <c r="H1567" s="105">
        <v>3000</v>
      </c>
      <c r="I1567" s="105">
        <v>600</v>
      </c>
      <c r="J1567" s="105"/>
      <c r="K1567" s="105">
        <v>600</v>
      </c>
      <c r="L1567" s="105"/>
      <c r="M1567" s="105"/>
      <c r="N1567" s="105"/>
      <c r="O1567" s="105"/>
      <c r="P1567" s="105"/>
      <c r="Q1567" s="105"/>
      <c r="R1567" s="105"/>
      <c r="S1567" s="105"/>
      <c r="T1567" s="106"/>
      <c r="U1567" s="130"/>
      <c r="V1567" s="1"/>
      <c r="W1567" s="68">
        <f t="shared" si="380"/>
        <v>0</v>
      </c>
      <c r="X1567" s="68">
        <f t="shared" si="381"/>
        <v>0</v>
      </c>
      <c r="Y1567" s="68">
        <f t="shared" si="382"/>
        <v>0</v>
      </c>
      <c r="Z1567" s="68">
        <f t="shared" si="383"/>
        <v>0</v>
      </c>
      <c r="AA1567" s="68"/>
      <c r="AB1567" s="68">
        <v>0</v>
      </c>
      <c r="AC1567" s="69">
        <f t="shared" si="384"/>
        <v>0</v>
      </c>
      <c r="AD1567" s="70">
        <v>0</v>
      </c>
      <c r="AE1567" s="63"/>
      <c r="AF1567" s="72"/>
      <c r="AG1567" s="63"/>
      <c r="AH1567" s="23"/>
      <c r="AI1567" s="60"/>
      <c r="AJ1567" s="124"/>
      <c r="AK1567" s="121" t="s">
        <v>2131</v>
      </c>
      <c r="AL1567" s="107"/>
      <c r="AM1567" s="108"/>
      <c r="AN1567" s="109"/>
      <c r="AO1567" s="108"/>
      <c r="AP1567" s="108"/>
      <c r="AQ1567" s="108"/>
      <c r="AR1567" s="108"/>
      <c r="AS1567" s="108"/>
      <c r="AT1567" s="108"/>
      <c r="AU1567" s="108"/>
      <c r="AV1567" s="108"/>
      <c r="AW1567" s="108"/>
      <c r="AX1567" s="108"/>
      <c r="AY1567" s="108"/>
      <c r="AZ1567" s="108"/>
      <c r="BA1567" s="108"/>
      <c r="BB1567" s="108"/>
      <c r="BC1567" s="108"/>
      <c r="BD1567" s="108"/>
      <c r="BE1567" s="108"/>
      <c r="BF1567" s="108"/>
      <c r="BG1567" s="108"/>
      <c r="BH1567" s="108"/>
      <c r="BI1567" s="108"/>
      <c r="BJ1567" s="108"/>
      <c r="BK1567" s="108"/>
      <c r="BL1567" s="108"/>
      <c r="BM1567" s="108"/>
      <c r="BN1567" s="108"/>
      <c r="BO1567" s="108"/>
      <c r="BP1567" s="108"/>
      <c r="BQ1567" s="108"/>
      <c r="BR1567" s="108"/>
      <c r="BS1567" s="108"/>
      <c r="BT1567" s="108"/>
      <c r="BU1567" s="108"/>
      <c r="BV1567" s="108"/>
      <c r="BW1567" s="108"/>
      <c r="BX1567" s="108"/>
      <c r="BY1567" s="108"/>
      <c r="BZ1567" s="108"/>
      <c r="CA1567" s="108"/>
      <c r="CB1567" s="108"/>
      <c r="CC1567" s="108"/>
      <c r="CD1567" s="108"/>
      <c r="CE1567" s="108"/>
      <c r="CF1567" s="108"/>
      <c r="CG1567" s="108"/>
      <c r="CH1567" s="108"/>
      <c r="CI1567" s="108"/>
      <c r="CJ1567" s="108"/>
      <c r="CK1567" s="108"/>
      <c r="CL1567" s="108"/>
      <c r="CM1567" s="108"/>
      <c r="CN1567" s="110"/>
      <c r="CO1567" s="111"/>
      <c r="CP1567" s="110"/>
      <c r="CQ1567" s="111"/>
      <c r="CR1567" s="110"/>
      <c r="CS1567" s="111"/>
      <c r="CT1567" s="112">
        <f t="shared" si="385"/>
        <v>0</v>
      </c>
      <c r="CU1567" s="113"/>
      <c r="CV1567" s="114"/>
      <c r="CW1567" s="115"/>
      <c r="CX1567" s="116"/>
      <c r="CY1567" s="117"/>
      <c r="CZ1567" s="116"/>
      <c r="DA1567" s="113"/>
      <c r="DB1567" s="114"/>
      <c r="DC1567" s="64"/>
      <c r="DD1567" s="118"/>
    </row>
    <row r="1568" spans="1:108" s="119" customFormat="1" ht="22.5" outlineLevel="2">
      <c r="A1568" s="178">
        <v>40513</v>
      </c>
      <c r="B1568" s="164" t="s">
        <v>1768</v>
      </c>
      <c r="C1568" s="164" t="s">
        <v>2398</v>
      </c>
      <c r="D1568" s="166" t="s">
        <v>1262</v>
      </c>
      <c r="E1568" s="163"/>
      <c r="F1568" s="105"/>
      <c r="G1568" s="105"/>
      <c r="H1568" s="105">
        <f>25*5</f>
        <v>125</v>
      </c>
      <c r="I1568" s="105">
        <v>25</v>
      </c>
      <c r="J1568" s="105"/>
      <c r="K1568" s="105">
        <v>25</v>
      </c>
      <c r="L1568" s="105"/>
      <c r="M1568" s="105"/>
      <c r="N1568" s="105"/>
      <c r="O1568" s="105"/>
      <c r="P1568" s="105"/>
      <c r="Q1568" s="105"/>
      <c r="R1568" s="105"/>
      <c r="S1568" s="105"/>
      <c r="T1568" s="106"/>
      <c r="U1568" s="130"/>
      <c r="V1568" s="1"/>
      <c r="W1568" s="68">
        <f t="shared" si="380"/>
        <v>0</v>
      </c>
      <c r="X1568" s="68">
        <f t="shared" si="381"/>
        <v>0</v>
      </c>
      <c r="Y1568" s="68">
        <f t="shared" si="382"/>
        <v>0</v>
      </c>
      <c r="Z1568" s="68">
        <f t="shared" si="383"/>
        <v>0</v>
      </c>
      <c r="AA1568" s="68"/>
      <c r="AB1568" s="68">
        <v>0</v>
      </c>
      <c r="AC1568" s="69">
        <f t="shared" si="384"/>
        <v>0</v>
      </c>
      <c r="AD1568" s="70">
        <v>0</v>
      </c>
      <c r="AE1568" s="63"/>
      <c r="AF1568" s="72"/>
      <c r="AG1568" s="63"/>
      <c r="AH1568" s="23"/>
      <c r="AI1568" s="60"/>
      <c r="AJ1568" s="124"/>
      <c r="AK1568" s="121" t="s">
        <v>2405</v>
      </c>
      <c r="AL1568" s="107"/>
      <c r="AM1568" s="108"/>
      <c r="AN1568" s="109"/>
      <c r="AO1568" s="108"/>
      <c r="AP1568" s="108"/>
      <c r="AQ1568" s="108"/>
      <c r="AR1568" s="108"/>
      <c r="AS1568" s="108"/>
      <c r="AT1568" s="108"/>
      <c r="AU1568" s="108"/>
      <c r="AV1568" s="108"/>
      <c r="AW1568" s="108"/>
      <c r="AX1568" s="108"/>
      <c r="AY1568" s="108"/>
      <c r="AZ1568" s="108"/>
      <c r="BA1568" s="108"/>
      <c r="BB1568" s="108"/>
      <c r="BC1568" s="108"/>
      <c r="BD1568" s="108"/>
      <c r="BE1568" s="108"/>
      <c r="BF1568" s="108"/>
      <c r="BG1568" s="108"/>
      <c r="BH1568" s="108"/>
      <c r="BI1568" s="108"/>
      <c r="BJ1568" s="108"/>
      <c r="BK1568" s="108"/>
      <c r="BL1568" s="108"/>
      <c r="BM1568" s="108"/>
      <c r="BN1568" s="108"/>
      <c r="BO1568" s="108"/>
      <c r="BP1568" s="108"/>
      <c r="BQ1568" s="108"/>
      <c r="BR1568" s="108"/>
      <c r="BS1568" s="108"/>
      <c r="BT1568" s="108"/>
      <c r="BU1568" s="108"/>
      <c r="BV1568" s="108"/>
      <c r="BW1568" s="108"/>
      <c r="BX1568" s="108"/>
      <c r="BY1568" s="108"/>
      <c r="BZ1568" s="108"/>
      <c r="CA1568" s="108"/>
      <c r="CB1568" s="108"/>
      <c r="CC1568" s="108"/>
      <c r="CD1568" s="108"/>
      <c r="CE1568" s="108"/>
      <c r="CF1568" s="108"/>
      <c r="CG1568" s="108"/>
      <c r="CH1568" s="108"/>
      <c r="CI1568" s="108"/>
      <c r="CJ1568" s="108"/>
      <c r="CK1568" s="108"/>
      <c r="CL1568" s="108"/>
      <c r="CM1568" s="108"/>
      <c r="CN1568" s="110"/>
      <c r="CO1568" s="111"/>
      <c r="CP1568" s="110"/>
      <c r="CQ1568" s="111"/>
      <c r="CR1568" s="110"/>
      <c r="CS1568" s="111"/>
      <c r="CT1568" s="112">
        <f t="shared" si="385"/>
        <v>0</v>
      </c>
      <c r="CU1568" s="113"/>
      <c r="CV1568" s="114"/>
      <c r="CW1568" s="115"/>
      <c r="CX1568" s="116"/>
      <c r="CY1568" s="117"/>
      <c r="CZ1568" s="116"/>
      <c r="DA1568" s="113"/>
      <c r="DB1568" s="114"/>
      <c r="DC1568" s="64"/>
      <c r="DD1568" s="118"/>
    </row>
    <row r="1569" spans="1:108" s="119" customFormat="1" ht="22.5" outlineLevel="2">
      <c r="A1569" s="178">
        <v>40513</v>
      </c>
      <c r="B1569" s="164" t="s">
        <v>1768</v>
      </c>
      <c r="C1569" s="164" t="s">
        <v>2399</v>
      </c>
      <c r="D1569" s="166" t="s">
        <v>1262</v>
      </c>
      <c r="E1569" s="163"/>
      <c r="F1569" s="105"/>
      <c r="G1569" s="105"/>
      <c r="H1569" s="105">
        <f>110*5</f>
        <v>550</v>
      </c>
      <c r="I1569" s="105">
        <v>110</v>
      </c>
      <c r="J1569" s="105"/>
      <c r="K1569" s="105">
        <v>110</v>
      </c>
      <c r="L1569" s="105"/>
      <c r="M1569" s="105"/>
      <c r="N1569" s="105"/>
      <c r="O1569" s="105"/>
      <c r="P1569" s="105"/>
      <c r="Q1569" s="105"/>
      <c r="R1569" s="105"/>
      <c r="S1569" s="105"/>
      <c r="T1569" s="106"/>
      <c r="U1569" s="130"/>
      <c r="V1569" s="1"/>
      <c r="W1569" s="68">
        <f t="shared" si="380"/>
        <v>0</v>
      </c>
      <c r="X1569" s="68">
        <f t="shared" si="381"/>
        <v>0</v>
      </c>
      <c r="Y1569" s="68">
        <f t="shared" si="382"/>
        <v>0</v>
      </c>
      <c r="Z1569" s="68">
        <f t="shared" si="383"/>
        <v>0</v>
      </c>
      <c r="AA1569" s="68"/>
      <c r="AB1569" s="68">
        <v>0</v>
      </c>
      <c r="AC1569" s="69">
        <f t="shared" si="384"/>
        <v>0</v>
      </c>
      <c r="AD1569" s="70">
        <v>0</v>
      </c>
      <c r="AE1569" s="63"/>
      <c r="AF1569" s="72"/>
      <c r="AG1569" s="63"/>
      <c r="AH1569" s="23"/>
      <c r="AI1569" s="60"/>
      <c r="AJ1569" s="124"/>
      <c r="AK1569" s="121" t="s">
        <v>2405</v>
      </c>
      <c r="AL1569" s="107"/>
      <c r="AM1569" s="108"/>
      <c r="AN1569" s="109"/>
      <c r="AO1569" s="108"/>
      <c r="AP1569" s="108"/>
      <c r="AQ1569" s="108"/>
      <c r="AR1569" s="108"/>
      <c r="AS1569" s="108"/>
      <c r="AT1569" s="108"/>
      <c r="AU1569" s="108"/>
      <c r="AV1569" s="108"/>
      <c r="AW1569" s="108"/>
      <c r="AX1569" s="108"/>
      <c r="AY1569" s="108"/>
      <c r="AZ1569" s="108"/>
      <c r="BA1569" s="108"/>
      <c r="BB1569" s="108"/>
      <c r="BC1569" s="108"/>
      <c r="BD1569" s="108"/>
      <c r="BE1569" s="108"/>
      <c r="BF1569" s="108"/>
      <c r="BG1569" s="108"/>
      <c r="BH1569" s="108"/>
      <c r="BI1569" s="108"/>
      <c r="BJ1569" s="108"/>
      <c r="BK1569" s="108"/>
      <c r="BL1569" s="108"/>
      <c r="BM1569" s="108"/>
      <c r="BN1569" s="108"/>
      <c r="BO1569" s="108"/>
      <c r="BP1569" s="108"/>
      <c r="BQ1569" s="108"/>
      <c r="BR1569" s="108"/>
      <c r="BS1569" s="108"/>
      <c r="BT1569" s="108"/>
      <c r="BU1569" s="108"/>
      <c r="BV1569" s="108"/>
      <c r="BW1569" s="108"/>
      <c r="BX1569" s="108"/>
      <c r="BY1569" s="108"/>
      <c r="BZ1569" s="108"/>
      <c r="CA1569" s="108"/>
      <c r="CB1569" s="108"/>
      <c r="CC1569" s="108"/>
      <c r="CD1569" s="108"/>
      <c r="CE1569" s="108"/>
      <c r="CF1569" s="108"/>
      <c r="CG1569" s="108"/>
      <c r="CH1569" s="108"/>
      <c r="CI1569" s="108"/>
      <c r="CJ1569" s="108"/>
      <c r="CK1569" s="108"/>
      <c r="CL1569" s="108"/>
      <c r="CM1569" s="108"/>
      <c r="CN1569" s="110"/>
      <c r="CO1569" s="111"/>
      <c r="CP1569" s="110"/>
      <c r="CQ1569" s="111"/>
      <c r="CR1569" s="110"/>
      <c r="CS1569" s="111"/>
      <c r="CT1569" s="112">
        <f t="shared" si="385"/>
        <v>0</v>
      </c>
      <c r="CU1569" s="113"/>
      <c r="CV1569" s="114"/>
      <c r="CW1569" s="115"/>
      <c r="CX1569" s="116"/>
      <c r="CY1569" s="117"/>
      <c r="CZ1569" s="116"/>
      <c r="DA1569" s="113"/>
      <c r="DB1569" s="114"/>
      <c r="DC1569" s="64"/>
      <c r="DD1569" s="118"/>
    </row>
    <row r="1570" spans="1:108" s="119" customFormat="1" ht="24" outlineLevel="2">
      <c r="A1570" s="178">
        <v>40514</v>
      </c>
      <c r="B1570" s="164" t="s">
        <v>1768</v>
      </c>
      <c r="C1570" s="164" t="s">
        <v>1532</v>
      </c>
      <c r="D1570" s="166" t="s">
        <v>1262</v>
      </c>
      <c r="E1570" s="163"/>
      <c r="F1570" s="105"/>
      <c r="G1570" s="105"/>
      <c r="H1570" s="105">
        <v>392</v>
      </c>
      <c r="I1570" s="105">
        <v>110</v>
      </c>
      <c r="J1570" s="105"/>
      <c r="K1570" s="105">
        <v>110</v>
      </c>
      <c r="L1570" s="105"/>
      <c r="M1570" s="105"/>
      <c r="N1570" s="105"/>
      <c r="O1570" s="105"/>
      <c r="P1570" s="105"/>
      <c r="Q1570" s="105"/>
      <c r="R1570" s="105"/>
      <c r="S1570" s="105"/>
      <c r="T1570" s="106"/>
      <c r="U1570" s="130"/>
      <c r="V1570" s="1"/>
      <c r="W1570" s="68">
        <f t="shared" si="380"/>
        <v>0</v>
      </c>
      <c r="X1570" s="68">
        <f t="shared" si="381"/>
        <v>0</v>
      </c>
      <c r="Y1570" s="68">
        <f t="shared" si="382"/>
        <v>0</v>
      </c>
      <c r="Z1570" s="68">
        <f t="shared" si="383"/>
        <v>0</v>
      </c>
      <c r="AA1570" s="68"/>
      <c r="AB1570" s="68">
        <v>0</v>
      </c>
      <c r="AC1570" s="69">
        <f t="shared" si="384"/>
        <v>0</v>
      </c>
      <c r="AD1570" s="70">
        <v>0</v>
      </c>
      <c r="AE1570" s="63"/>
      <c r="AF1570" s="72"/>
      <c r="AG1570" s="63"/>
      <c r="AH1570" s="23"/>
      <c r="AI1570" s="60"/>
      <c r="AJ1570" s="124"/>
      <c r="AK1570" s="121" t="s">
        <v>2176</v>
      </c>
      <c r="AL1570" s="107"/>
      <c r="AM1570" s="108"/>
      <c r="AN1570" s="109"/>
      <c r="AO1570" s="108"/>
      <c r="AP1570" s="108"/>
      <c r="AQ1570" s="108"/>
      <c r="AR1570" s="108"/>
      <c r="AS1570" s="108"/>
      <c r="AT1570" s="108"/>
      <c r="AU1570" s="108"/>
      <c r="AV1570" s="108"/>
      <c r="AW1570" s="108"/>
      <c r="AX1570" s="108"/>
      <c r="AY1570" s="108"/>
      <c r="AZ1570" s="108"/>
      <c r="BA1570" s="108"/>
      <c r="BB1570" s="108"/>
      <c r="BC1570" s="108"/>
      <c r="BD1570" s="108"/>
      <c r="BE1570" s="108"/>
      <c r="BF1570" s="108"/>
      <c r="BG1570" s="108"/>
      <c r="BH1570" s="108"/>
      <c r="BI1570" s="108"/>
      <c r="BJ1570" s="108"/>
      <c r="BK1570" s="108"/>
      <c r="BL1570" s="108"/>
      <c r="BM1570" s="108"/>
      <c r="BN1570" s="108"/>
      <c r="BO1570" s="108"/>
      <c r="BP1570" s="108"/>
      <c r="BQ1570" s="108"/>
      <c r="BR1570" s="108"/>
      <c r="BS1570" s="108"/>
      <c r="BT1570" s="108"/>
      <c r="BU1570" s="108"/>
      <c r="BV1570" s="108"/>
      <c r="BW1570" s="108"/>
      <c r="BX1570" s="108"/>
      <c r="BY1570" s="108"/>
      <c r="BZ1570" s="108"/>
      <c r="CA1570" s="108"/>
      <c r="CB1570" s="108"/>
      <c r="CC1570" s="108"/>
      <c r="CD1570" s="108"/>
      <c r="CE1570" s="108"/>
      <c r="CF1570" s="108"/>
      <c r="CG1570" s="108"/>
      <c r="CH1570" s="108"/>
      <c r="CI1570" s="108"/>
      <c r="CJ1570" s="108"/>
      <c r="CK1570" s="108"/>
      <c r="CL1570" s="108"/>
      <c r="CM1570" s="108"/>
      <c r="CN1570" s="110"/>
      <c r="CO1570" s="111"/>
      <c r="CP1570" s="110"/>
      <c r="CQ1570" s="111"/>
      <c r="CR1570" s="110"/>
      <c r="CS1570" s="111"/>
      <c r="CT1570" s="112">
        <f t="shared" si="385"/>
        <v>0</v>
      </c>
      <c r="CU1570" s="113"/>
      <c r="CV1570" s="114"/>
      <c r="CW1570" s="115"/>
      <c r="CX1570" s="116"/>
      <c r="CY1570" s="117"/>
      <c r="CZ1570" s="116"/>
      <c r="DA1570" s="113"/>
      <c r="DB1570" s="114"/>
      <c r="DC1570" s="64"/>
      <c r="DD1570" s="118"/>
    </row>
    <row r="1571" spans="1:108" s="119" customFormat="1" ht="24.75" outlineLevel="2">
      <c r="A1571" s="178">
        <v>40515</v>
      </c>
      <c r="B1571" s="164" t="s">
        <v>1768</v>
      </c>
      <c r="C1571" s="164" t="s">
        <v>537</v>
      </c>
      <c r="D1571" s="166" t="s">
        <v>1262</v>
      </c>
      <c r="E1571" s="163"/>
      <c r="F1571" s="105"/>
      <c r="G1571" s="105"/>
      <c r="H1571" s="105">
        <f>270*5</f>
        <v>1350</v>
      </c>
      <c r="I1571" s="105">
        <v>270</v>
      </c>
      <c r="J1571" s="105"/>
      <c r="K1571" s="105">
        <v>270</v>
      </c>
      <c r="L1571" s="105"/>
      <c r="M1571" s="105"/>
      <c r="N1571" s="105"/>
      <c r="O1571" s="105"/>
      <c r="P1571" s="105"/>
      <c r="Q1571" s="105"/>
      <c r="R1571" s="105"/>
      <c r="S1571" s="105"/>
      <c r="T1571" s="106">
        <v>8</v>
      </c>
      <c r="U1571" s="130" t="s">
        <v>2193</v>
      </c>
      <c r="V1571" s="1"/>
      <c r="W1571" s="68">
        <f t="shared" si="380"/>
        <v>0</v>
      </c>
      <c r="X1571" s="68">
        <f t="shared" si="381"/>
        <v>0</v>
      </c>
      <c r="Y1571" s="68">
        <f t="shared" si="382"/>
        <v>0</v>
      </c>
      <c r="Z1571" s="68">
        <f t="shared" si="383"/>
        <v>0</v>
      </c>
      <c r="AA1571" s="68"/>
      <c r="AB1571" s="68">
        <v>0</v>
      </c>
      <c r="AC1571" s="69">
        <f t="shared" si="384"/>
        <v>0</v>
      </c>
      <c r="AD1571" s="70">
        <v>0</v>
      </c>
      <c r="AE1571" s="63"/>
      <c r="AF1571" s="72"/>
      <c r="AG1571" s="63"/>
      <c r="AH1571" s="23"/>
      <c r="AI1571" s="60"/>
      <c r="AJ1571" s="124"/>
      <c r="AK1571" s="121" t="s">
        <v>2192</v>
      </c>
      <c r="AL1571" s="107"/>
      <c r="AM1571" s="108"/>
      <c r="AN1571" s="109"/>
      <c r="AO1571" s="108"/>
      <c r="AP1571" s="108"/>
      <c r="AQ1571" s="108"/>
      <c r="AR1571" s="108"/>
      <c r="AS1571" s="108"/>
      <c r="AT1571" s="108"/>
      <c r="AU1571" s="108"/>
      <c r="AV1571" s="108"/>
      <c r="AW1571" s="108"/>
      <c r="AX1571" s="108"/>
      <c r="AY1571" s="108"/>
      <c r="AZ1571" s="108"/>
      <c r="BA1571" s="108"/>
      <c r="BB1571" s="108"/>
      <c r="BC1571" s="108"/>
      <c r="BD1571" s="108"/>
      <c r="BE1571" s="108"/>
      <c r="BF1571" s="108"/>
      <c r="BG1571" s="108"/>
      <c r="BH1571" s="108"/>
      <c r="BI1571" s="108"/>
      <c r="BJ1571" s="108"/>
      <c r="BK1571" s="108"/>
      <c r="BL1571" s="108"/>
      <c r="BM1571" s="108"/>
      <c r="BN1571" s="108"/>
      <c r="BO1571" s="108"/>
      <c r="BP1571" s="108"/>
      <c r="BQ1571" s="108"/>
      <c r="BR1571" s="108"/>
      <c r="BS1571" s="108"/>
      <c r="BT1571" s="108"/>
      <c r="BU1571" s="108"/>
      <c r="BV1571" s="108"/>
      <c r="BW1571" s="108"/>
      <c r="BX1571" s="108"/>
      <c r="BY1571" s="108"/>
      <c r="BZ1571" s="108"/>
      <c r="CA1571" s="108"/>
      <c r="CB1571" s="108"/>
      <c r="CC1571" s="108"/>
      <c r="CD1571" s="108"/>
      <c r="CE1571" s="108"/>
      <c r="CF1571" s="108"/>
      <c r="CG1571" s="108"/>
      <c r="CH1571" s="108"/>
      <c r="CI1571" s="108"/>
      <c r="CJ1571" s="108"/>
      <c r="CK1571" s="108"/>
      <c r="CL1571" s="108"/>
      <c r="CM1571" s="108"/>
      <c r="CN1571" s="110"/>
      <c r="CO1571" s="111"/>
      <c r="CP1571" s="110"/>
      <c r="CQ1571" s="111"/>
      <c r="CR1571" s="110"/>
      <c r="CS1571" s="111"/>
      <c r="CT1571" s="112">
        <f t="shared" si="385"/>
        <v>0</v>
      </c>
      <c r="CU1571" s="113"/>
      <c r="CV1571" s="114"/>
      <c r="CW1571" s="115"/>
      <c r="CX1571" s="116"/>
      <c r="CY1571" s="117"/>
      <c r="CZ1571" s="116"/>
      <c r="DA1571" s="113"/>
      <c r="DB1571" s="114"/>
      <c r="DC1571" s="64"/>
      <c r="DD1571" s="118"/>
    </row>
    <row r="1572" spans="1:108" s="119" customFormat="1" ht="24" outlineLevel="2">
      <c r="A1572" s="178">
        <v>40515</v>
      </c>
      <c r="B1572" s="164" t="s">
        <v>1768</v>
      </c>
      <c r="C1572" s="164" t="s">
        <v>1877</v>
      </c>
      <c r="D1572" s="166" t="s">
        <v>1182</v>
      </c>
      <c r="E1572" s="163"/>
      <c r="F1572" s="105"/>
      <c r="G1572" s="105"/>
      <c r="H1572" s="105">
        <f>185*5</f>
        <v>925</v>
      </c>
      <c r="I1572" s="105">
        <v>185</v>
      </c>
      <c r="J1572" s="105"/>
      <c r="K1572" s="105">
        <v>185</v>
      </c>
      <c r="L1572" s="105"/>
      <c r="M1572" s="105"/>
      <c r="N1572" s="105"/>
      <c r="O1572" s="105"/>
      <c r="P1572" s="105"/>
      <c r="Q1572" s="105"/>
      <c r="R1572" s="105"/>
      <c r="S1572" s="105"/>
      <c r="T1572" s="106"/>
      <c r="U1572" s="130"/>
      <c r="V1572" s="1"/>
      <c r="W1572" s="68">
        <f t="shared" si="380"/>
        <v>0</v>
      </c>
      <c r="X1572" s="68">
        <f t="shared" si="381"/>
        <v>0</v>
      </c>
      <c r="Y1572" s="68">
        <f t="shared" si="382"/>
        <v>0</v>
      </c>
      <c r="Z1572" s="68">
        <f t="shared" si="383"/>
        <v>0</v>
      </c>
      <c r="AA1572" s="68"/>
      <c r="AB1572" s="68">
        <v>0</v>
      </c>
      <c r="AC1572" s="69">
        <f t="shared" si="384"/>
        <v>0</v>
      </c>
      <c r="AD1572" s="70">
        <v>0</v>
      </c>
      <c r="AE1572" s="63"/>
      <c r="AF1572" s="72"/>
      <c r="AG1572" s="63"/>
      <c r="AH1572" s="23"/>
      <c r="AI1572" s="60"/>
      <c r="AJ1572" s="124"/>
      <c r="AK1572" s="121" t="s">
        <v>2191</v>
      </c>
      <c r="AL1572" s="107"/>
      <c r="AM1572" s="108"/>
      <c r="AN1572" s="109"/>
      <c r="AO1572" s="108"/>
      <c r="AP1572" s="108"/>
      <c r="AQ1572" s="108"/>
      <c r="AR1572" s="108"/>
      <c r="AS1572" s="108"/>
      <c r="AT1572" s="108"/>
      <c r="AU1572" s="108"/>
      <c r="AV1572" s="108"/>
      <c r="AW1572" s="108"/>
      <c r="AX1572" s="108"/>
      <c r="AY1572" s="108"/>
      <c r="AZ1572" s="108"/>
      <c r="BA1572" s="108"/>
      <c r="BB1572" s="108"/>
      <c r="BC1572" s="108"/>
      <c r="BD1572" s="108"/>
      <c r="BE1572" s="108"/>
      <c r="BF1572" s="108"/>
      <c r="BG1572" s="108"/>
      <c r="BH1572" s="108"/>
      <c r="BI1572" s="108"/>
      <c r="BJ1572" s="108"/>
      <c r="BK1572" s="108"/>
      <c r="BL1572" s="108"/>
      <c r="BM1572" s="108"/>
      <c r="BN1572" s="108"/>
      <c r="BO1572" s="108"/>
      <c r="BP1572" s="108"/>
      <c r="BQ1572" s="108"/>
      <c r="BR1572" s="108"/>
      <c r="BS1572" s="108"/>
      <c r="BT1572" s="108"/>
      <c r="BU1572" s="108"/>
      <c r="BV1572" s="108"/>
      <c r="BW1572" s="108"/>
      <c r="BX1572" s="108"/>
      <c r="BY1572" s="108"/>
      <c r="BZ1572" s="108"/>
      <c r="CA1572" s="108"/>
      <c r="CB1572" s="108"/>
      <c r="CC1572" s="108"/>
      <c r="CD1572" s="108"/>
      <c r="CE1572" s="108"/>
      <c r="CF1572" s="108"/>
      <c r="CG1572" s="108"/>
      <c r="CH1572" s="108"/>
      <c r="CI1572" s="108"/>
      <c r="CJ1572" s="108"/>
      <c r="CK1572" s="108"/>
      <c r="CL1572" s="108"/>
      <c r="CM1572" s="108"/>
      <c r="CN1572" s="110"/>
      <c r="CO1572" s="111"/>
      <c r="CP1572" s="110"/>
      <c r="CQ1572" s="111"/>
      <c r="CR1572" s="110"/>
      <c r="CS1572" s="111"/>
      <c r="CT1572" s="112">
        <f t="shared" si="385"/>
        <v>0</v>
      </c>
      <c r="CU1572" s="113"/>
      <c r="CV1572" s="114"/>
      <c r="CW1572" s="115"/>
      <c r="CX1572" s="116"/>
      <c r="CY1572" s="117"/>
      <c r="CZ1572" s="116"/>
      <c r="DA1572" s="113"/>
      <c r="DB1572" s="114"/>
      <c r="DC1572" s="64"/>
      <c r="DD1572" s="118"/>
    </row>
    <row r="1573" spans="1:108" s="119" customFormat="1" ht="48" outlineLevel="2">
      <c r="A1573" s="178">
        <v>40515</v>
      </c>
      <c r="B1573" s="164" t="s">
        <v>1768</v>
      </c>
      <c r="C1573" s="164" t="s">
        <v>364</v>
      </c>
      <c r="D1573" s="166" t="s">
        <v>1262</v>
      </c>
      <c r="E1573" s="163">
        <v>1</v>
      </c>
      <c r="F1573" s="105">
        <v>2</v>
      </c>
      <c r="G1573" s="105"/>
      <c r="H1573" s="105">
        <v>70</v>
      </c>
      <c r="I1573" s="105">
        <v>14</v>
      </c>
      <c r="J1573" s="105"/>
      <c r="K1573" s="105">
        <v>14</v>
      </c>
      <c r="L1573" s="105">
        <v>1</v>
      </c>
      <c r="M1573" s="105"/>
      <c r="N1573" s="105"/>
      <c r="O1573" s="105"/>
      <c r="P1573" s="105"/>
      <c r="Q1573" s="105"/>
      <c r="R1573" s="105">
        <v>1</v>
      </c>
      <c r="S1573" s="105"/>
      <c r="T1573" s="106"/>
      <c r="U1573" s="130"/>
      <c r="V1573" s="1"/>
      <c r="W1573" s="68">
        <f t="shared" ref="W1573:W1580" si="386">CT1573</f>
        <v>0</v>
      </c>
      <c r="X1573" s="68">
        <f t="shared" ref="X1573:X1580" si="387">CX1573</f>
        <v>0</v>
      </c>
      <c r="Y1573" s="68">
        <f t="shared" ref="Y1573:Y1580" si="388">CZ1573+DB1573</f>
        <v>0</v>
      </c>
      <c r="Z1573" s="68">
        <f t="shared" ref="Z1573:Z1580" si="389">CV1573</f>
        <v>0</v>
      </c>
      <c r="AA1573" s="68"/>
      <c r="AB1573" s="68">
        <v>0</v>
      </c>
      <c r="AC1573" s="69">
        <f t="shared" ref="AC1573:AC1580" si="390">W1573+X1573+Y1573+Z1573+AA1573+AB1573</f>
        <v>0</v>
      </c>
      <c r="AD1573" s="70">
        <v>0</v>
      </c>
      <c r="AE1573" s="63"/>
      <c r="AF1573" s="72"/>
      <c r="AG1573" s="63"/>
      <c r="AH1573" s="23"/>
      <c r="AI1573" s="60"/>
      <c r="AJ1573" s="124"/>
      <c r="AK1573" s="121" t="s">
        <v>2201</v>
      </c>
      <c r="AL1573" s="107"/>
      <c r="AM1573" s="108"/>
      <c r="AN1573" s="109"/>
      <c r="AO1573" s="108"/>
      <c r="AP1573" s="108"/>
      <c r="AQ1573" s="108"/>
      <c r="AR1573" s="108"/>
      <c r="AS1573" s="108"/>
      <c r="AT1573" s="108"/>
      <c r="AU1573" s="108"/>
      <c r="AV1573" s="108"/>
      <c r="AW1573" s="108"/>
      <c r="AX1573" s="108"/>
      <c r="AY1573" s="108"/>
      <c r="AZ1573" s="108"/>
      <c r="BA1573" s="108"/>
      <c r="BB1573" s="108"/>
      <c r="BC1573" s="108"/>
      <c r="BD1573" s="108"/>
      <c r="BE1573" s="108"/>
      <c r="BF1573" s="108"/>
      <c r="BG1573" s="108"/>
      <c r="BH1573" s="108"/>
      <c r="BI1573" s="108"/>
      <c r="BJ1573" s="108"/>
      <c r="BK1573" s="108"/>
      <c r="BL1573" s="108"/>
      <c r="BM1573" s="108"/>
      <c r="BN1573" s="108"/>
      <c r="BO1573" s="108"/>
      <c r="BP1573" s="108"/>
      <c r="BQ1573" s="108"/>
      <c r="BR1573" s="108"/>
      <c r="BS1573" s="108"/>
      <c r="BT1573" s="108"/>
      <c r="BU1573" s="108"/>
      <c r="BV1573" s="108"/>
      <c r="BW1573" s="108"/>
      <c r="BX1573" s="108"/>
      <c r="BY1573" s="108"/>
      <c r="BZ1573" s="108"/>
      <c r="CA1573" s="108"/>
      <c r="CB1573" s="108"/>
      <c r="CC1573" s="108"/>
      <c r="CD1573" s="108"/>
      <c r="CE1573" s="108"/>
      <c r="CF1573" s="108"/>
      <c r="CG1573" s="108"/>
      <c r="CH1573" s="108"/>
      <c r="CI1573" s="108"/>
      <c r="CJ1573" s="108"/>
      <c r="CK1573" s="108"/>
      <c r="CL1573" s="108"/>
      <c r="CM1573" s="108"/>
      <c r="CN1573" s="110"/>
      <c r="CO1573" s="111"/>
      <c r="CP1573" s="110"/>
      <c r="CQ1573" s="111"/>
      <c r="CR1573" s="110"/>
      <c r="CS1573" s="111"/>
      <c r="CT1573" s="112">
        <f t="shared" ref="CT1573:CT1580" si="391">AM1573+AO1573+AQ1573+AS1573+AU1573+AW1573+AY1573+BA1573+BC1573+BE1573+BG1573+BI1573+BK1573+BM1573+BO1573+BQ1573+BS1573+BU1573+BW1573+BY1573+CA1573+CC1573+CE1573+CG1573+CI1573+CK1573+CM1573+CO1573+CQ1573+CS1573</f>
        <v>0</v>
      </c>
      <c r="CU1573" s="113"/>
      <c r="CV1573" s="114"/>
      <c r="CW1573" s="115"/>
      <c r="CX1573" s="116"/>
      <c r="CY1573" s="117"/>
      <c r="CZ1573" s="116"/>
      <c r="DA1573" s="113"/>
      <c r="DB1573" s="114"/>
      <c r="DC1573" s="64"/>
      <c r="DD1573" s="118"/>
    </row>
    <row r="1574" spans="1:108" s="119" customFormat="1" ht="24" outlineLevel="2">
      <c r="A1574" s="178">
        <v>40515</v>
      </c>
      <c r="B1574" s="164" t="s">
        <v>1768</v>
      </c>
      <c r="C1574" s="164" t="s">
        <v>858</v>
      </c>
      <c r="D1574" s="166" t="s">
        <v>1262</v>
      </c>
      <c r="E1574" s="163"/>
      <c r="F1574" s="105"/>
      <c r="G1574" s="105"/>
      <c r="H1574" s="105"/>
      <c r="I1574" s="105"/>
      <c r="J1574" s="105"/>
      <c r="K1574" s="105"/>
      <c r="L1574" s="105"/>
      <c r="M1574" s="105"/>
      <c r="N1574" s="105"/>
      <c r="O1574" s="105">
        <v>1</v>
      </c>
      <c r="P1574" s="105"/>
      <c r="Q1574" s="105"/>
      <c r="R1574" s="105"/>
      <c r="S1574" s="105"/>
      <c r="T1574" s="106"/>
      <c r="U1574" s="130"/>
      <c r="V1574" s="1"/>
      <c r="W1574" s="68">
        <f t="shared" si="386"/>
        <v>0</v>
      </c>
      <c r="X1574" s="68">
        <f t="shared" si="387"/>
        <v>0</v>
      </c>
      <c r="Y1574" s="68">
        <f t="shared" si="388"/>
        <v>0</v>
      </c>
      <c r="Z1574" s="68">
        <f t="shared" si="389"/>
        <v>0</v>
      </c>
      <c r="AA1574" s="68"/>
      <c r="AB1574" s="68">
        <v>0</v>
      </c>
      <c r="AC1574" s="69">
        <f t="shared" si="390"/>
        <v>0</v>
      </c>
      <c r="AD1574" s="70">
        <v>0</v>
      </c>
      <c r="AE1574" s="63"/>
      <c r="AF1574" s="72"/>
      <c r="AG1574" s="63"/>
      <c r="AH1574" s="23"/>
      <c r="AI1574" s="60"/>
      <c r="AJ1574" s="124"/>
      <c r="AK1574" s="121" t="s">
        <v>2194</v>
      </c>
      <c r="AL1574" s="107"/>
      <c r="AM1574" s="108"/>
      <c r="AN1574" s="109"/>
      <c r="AO1574" s="108"/>
      <c r="AP1574" s="108"/>
      <c r="AQ1574" s="108"/>
      <c r="AR1574" s="108"/>
      <c r="AS1574" s="108"/>
      <c r="AT1574" s="108"/>
      <c r="AU1574" s="108"/>
      <c r="AV1574" s="108"/>
      <c r="AW1574" s="108"/>
      <c r="AX1574" s="108"/>
      <c r="AY1574" s="108"/>
      <c r="AZ1574" s="108"/>
      <c r="BA1574" s="108"/>
      <c r="BB1574" s="108"/>
      <c r="BC1574" s="108"/>
      <c r="BD1574" s="108"/>
      <c r="BE1574" s="108"/>
      <c r="BF1574" s="108"/>
      <c r="BG1574" s="108"/>
      <c r="BH1574" s="108"/>
      <c r="BI1574" s="108"/>
      <c r="BJ1574" s="108"/>
      <c r="BK1574" s="108"/>
      <c r="BL1574" s="108"/>
      <c r="BM1574" s="108"/>
      <c r="BN1574" s="108"/>
      <c r="BO1574" s="108"/>
      <c r="BP1574" s="108"/>
      <c r="BQ1574" s="108"/>
      <c r="BR1574" s="108"/>
      <c r="BS1574" s="108"/>
      <c r="BT1574" s="108"/>
      <c r="BU1574" s="108"/>
      <c r="BV1574" s="108"/>
      <c r="BW1574" s="108"/>
      <c r="BX1574" s="108"/>
      <c r="BY1574" s="108"/>
      <c r="BZ1574" s="108"/>
      <c r="CA1574" s="108"/>
      <c r="CB1574" s="108"/>
      <c r="CC1574" s="108"/>
      <c r="CD1574" s="108"/>
      <c r="CE1574" s="108"/>
      <c r="CF1574" s="108"/>
      <c r="CG1574" s="108"/>
      <c r="CH1574" s="108"/>
      <c r="CI1574" s="108"/>
      <c r="CJ1574" s="108"/>
      <c r="CK1574" s="108"/>
      <c r="CL1574" s="108"/>
      <c r="CM1574" s="108"/>
      <c r="CN1574" s="110"/>
      <c r="CO1574" s="111"/>
      <c r="CP1574" s="110"/>
      <c r="CQ1574" s="111"/>
      <c r="CR1574" s="110"/>
      <c r="CS1574" s="111"/>
      <c r="CT1574" s="112">
        <f t="shared" si="391"/>
        <v>0</v>
      </c>
      <c r="CU1574" s="113"/>
      <c r="CV1574" s="114"/>
      <c r="CW1574" s="115"/>
      <c r="CX1574" s="116"/>
      <c r="CY1574" s="117"/>
      <c r="CZ1574" s="116"/>
      <c r="DA1574" s="113"/>
      <c r="DB1574" s="114"/>
      <c r="DC1574" s="64"/>
      <c r="DD1574" s="118"/>
    </row>
    <row r="1575" spans="1:108" s="119" customFormat="1" ht="48" outlineLevel="2">
      <c r="A1575" s="178">
        <v>40516</v>
      </c>
      <c r="B1575" s="164" t="s">
        <v>1768</v>
      </c>
      <c r="C1575" s="164" t="s">
        <v>364</v>
      </c>
      <c r="D1575" s="166" t="s">
        <v>1262</v>
      </c>
      <c r="E1575" s="163"/>
      <c r="F1575" s="105"/>
      <c r="G1575" s="105"/>
      <c r="H1575" s="105">
        <f>249*5</f>
        <v>1245</v>
      </c>
      <c r="I1575" s="105">
        <f>268-14-5</f>
        <v>249</v>
      </c>
      <c r="J1575" s="105"/>
      <c r="K1575" s="105">
        <v>249</v>
      </c>
      <c r="L1575" s="105">
        <v>2</v>
      </c>
      <c r="M1575" s="105"/>
      <c r="N1575" s="105"/>
      <c r="O1575" s="105"/>
      <c r="P1575" s="105"/>
      <c r="Q1575" s="105"/>
      <c r="R1575" s="105"/>
      <c r="S1575" s="105"/>
      <c r="T1575" s="106"/>
      <c r="U1575" s="130"/>
      <c r="V1575" s="1"/>
      <c r="W1575" s="68">
        <f t="shared" si="386"/>
        <v>0</v>
      </c>
      <c r="X1575" s="68">
        <f t="shared" si="387"/>
        <v>0</v>
      </c>
      <c r="Y1575" s="68">
        <f t="shared" si="388"/>
        <v>0</v>
      </c>
      <c r="Z1575" s="68">
        <f t="shared" si="389"/>
        <v>0</v>
      </c>
      <c r="AA1575" s="68"/>
      <c r="AB1575" s="68">
        <v>0</v>
      </c>
      <c r="AC1575" s="69">
        <f t="shared" si="390"/>
        <v>0</v>
      </c>
      <c r="AD1575" s="70">
        <v>0</v>
      </c>
      <c r="AE1575" s="63"/>
      <c r="AF1575" s="72"/>
      <c r="AG1575" s="63"/>
      <c r="AH1575" s="23"/>
      <c r="AI1575" s="60"/>
      <c r="AJ1575" s="124"/>
      <c r="AK1575" s="121" t="s">
        <v>2215</v>
      </c>
      <c r="AL1575" s="107"/>
      <c r="AM1575" s="108"/>
      <c r="AN1575" s="109"/>
      <c r="AO1575" s="108"/>
      <c r="AP1575" s="108"/>
      <c r="AQ1575" s="108"/>
      <c r="AR1575" s="108"/>
      <c r="AS1575" s="108"/>
      <c r="AT1575" s="108"/>
      <c r="AU1575" s="108"/>
      <c r="AV1575" s="108"/>
      <c r="AW1575" s="108"/>
      <c r="AX1575" s="108"/>
      <c r="AY1575" s="108"/>
      <c r="AZ1575" s="108"/>
      <c r="BA1575" s="108"/>
      <c r="BB1575" s="108"/>
      <c r="BC1575" s="108"/>
      <c r="BD1575" s="108"/>
      <c r="BE1575" s="108"/>
      <c r="BF1575" s="108"/>
      <c r="BG1575" s="108"/>
      <c r="BH1575" s="108"/>
      <c r="BI1575" s="108"/>
      <c r="BJ1575" s="108"/>
      <c r="BK1575" s="108"/>
      <c r="BL1575" s="108"/>
      <c r="BM1575" s="108"/>
      <c r="BN1575" s="108"/>
      <c r="BO1575" s="108"/>
      <c r="BP1575" s="108"/>
      <c r="BQ1575" s="108"/>
      <c r="BR1575" s="108"/>
      <c r="BS1575" s="108"/>
      <c r="BT1575" s="108"/>
      <c r="BU1575" s="108"/>
      <c r="BV1575" s="108"/>
      <c r="BW1575" s="108"/>
      <c r="BX1575" s="108"/>
      <c r="BY1575" s="108"/>
      <c r="BZ1575" s="108"/>
      <c r="CA1575" s="108"/>
      <c r="CB1575" s="108"/>
      <c r="CC1575" s="108"/>
      <c r="CD1575" s="108"/>
      <c r="CE1575" s="108"/>
      <c r="CF1575" s="108"/>
      <c r="CG1575" s="108"/>
      <c r="CH1575" s="108"/>
      <c r="CI1575" s="108"/>
      <c r="CJ1575" s="108"/>
      <c r="CK1575" s="108"/>
      <c r="CL1575" s="108"/>
      <c r="CM1575" s="108"/>
      <c r="CN1575" s="110"/>
      <c r="CO1575" s="111"/>
      <c r="CP1575" s="110"/>
      <c r="CQ1575" s="111"/>
      <c r="CR1575" s="110"/>
      <c r="CS1575" s="111"/>
      <c r="CT1575" s="112">
        <f t="shared" si="391"/>
        <v>0</v>
      </c>
      <c r="CU1575" s="113"/>
      <c r="CV1575" s="114"/>
      <c r="CW1575" s="115"/>
      <c r="CX1575" s="116"/>
      <c r="CY1575" s="117"/>
      <c r="CZ1575" s="116"/>
      <c r="DA1575" s="113"/>
      <c r="DB1575" s="114"/>
      <c r="DC1575" s="64"/>
      <c r="DD1575" s="118"/>
    </row>
    <row r="1576" spans="1:108" s="119" customFormat="1" ht="36" outlineLevel="2">
      <c r="A1576" s="178">
        <v>40516</v>
      </c>
      <c r="B1576" s="164" t="s">
        <v>1768</v>
      </c>
      <c r="C1576" s="164" t="s">
        <v>1865</v>
      </c>
      <c r="D1576" s="166" t="s">
        <v>1262</v>
      </c>
      <c r="E1576" s="163"/>
      <c r="F1576" s="105"/>
      <c r="G1576" s="105"/>
      <c r="H1576" s="105">
        <f>637*5</f>
        <v>3185</v>
      </c>
      <c r="I1576" s="105">
        <f>797-160</f>
        <v>637</v>
      </c>
      <c r="J1576" s="105"/>
      <c r="K1576" s="105"/>
      <c r="L1576" s="105"/>
      <c r="M1576" s="105"/>
      <c r="N1576" s="105"/>
      <c r="O1576" s="105"/>
      <c r="P1576" s="105"/>
      <c r="Q1576" s="105"/>
      <c r="R1576" s="105"/>
      <c r="S1576" s="105"/>
      <c r="T1576" s="106"/>
      <c r="U1576" s="130"/>
      <c r="V1576" s="1"/>
      <c r="W1576" s="68">
        <f t="shared" si="386"/>
        <v>0</v>
      </c>
      <c r="X1576" s="68">
        <f t="shared" si="387"/>
        <v>0</v>
      </c>
      <c r="Y1576" s="68">
        <f t="shared" si="388"/>
        <v>0</v>
      </c>
      <c r="Z1576" s="68">
        <f t="shared" si="389"/>
        <v>0</v>
      </c>
      <c r="AA1576" s="68"/>
      <c r="AB1576" s="68">
        <v>0</v>
      </c>
      <c r="AC1576" s="69">
        <f t="shared" si="390"/>
        <v>0</v>
      </c>
      <c r="AD1576" s="70">
        <v>0</v>
      </c>
      <c r="AE1576" s="63"/>
      <c r="AF1576" s="72"/>
      <c r="AG1576" s="63"/>
      <c r="AH1576" s="23"/>
      <c r="AI1576" s="60"/>
      <c r="AJ1576" s="124"/>
      <c r="AK1576" s="121" t="s">
        <v>2213</v>
      </c>
      <c r="AL1576" s="107"/>
      <c r="AM1576" s="108"/>
      <c r="AN1576" s="109"/>
      <c r="AO1576" s="108"/>
      <c r="AP1576" s="108"/>
      <c r="AQ1576" s="108"/>
      <c r="AR1576" s="108"/>
      <c r="AS1576" s="108"/>
      <c r="AT1576" s="108"/>
      <c r="AU1576" s="108"/>
      <c r="AV1576" s="108"/>
      <c r="AW1576" s="108"/>
      <c r="AX1576" s="108"/>
      <c r="AY1576" s="108"/>
      <c r="AZ1576" s="108"/>
      <c r="BA1576" s="108"/>
      <c r="BB1576" s="108"/>
      <c r="BC1576" s="108"/>
      <c r="BD1576" s="108"/>
      <c r="BE1576" s="108"/>
      <c r="BF1576" s="108"/>
      <c r="BG1576" s="108"/>
      <c r="BH1576" s="108"/>
      <c r="BI1576" s="108"/>
      <c r="BJ1576" s="108"/>
      <c r="BK1576" s="108"/>
      <c r="BL1576" s="108"/>
      <c r="BM1576" s="108"/>
      <c r="BN1576" s="108"/>
      <c r="BO1576" s="108"/>
      <c r="BP1576" s="108"/>
      <c r="BQ1576" s="108"/>
      <c r="BR1576" s="108"/>
      <c r="BS1576" s="108"/>
      <c r="BT1576" s="108"/>
      <c r="BU1576" s="108"/>
      <c r="BV1576" s="108"/>
      <c r="BW1576" s="108"/>
      <c r="BX1576" s="108"/>
      <c r="BY1576" s="108"/>
      <c r="BZ1576" s="108"/>
      <c r="CA1576" s="108"/>
      <c r="CB1576" s="108"/>
      <c r="CC1576" s="108"/>
      <c r="CD1576" s="108"/>
      <c r="CE1576" s="108"/>
      <c r="CF1576" s="108"/>
      <c r="CG1576" s="108"/>
      <c r="CH1576" s="108"/>
      <c r="CI1576" s="108"/>
      <c r="CJ1576" s="108"/>
      <c r="CK1576" s="108"/>
      <c r="CL1576" s="108"/>
      <c r="CM1576" s="108"/>
      <c r="CN1576" s="110"/>
      <c r="CO1576" s="111"/>
      <c r="CP1576" s="110"/>
      <c r="CQ1576" s="111"/>
      <c r="CR1576" s="110"/>
      <c r="CS1576" s="111"/>
      <c r="CT1576" s="112">
        <f t="shared" si="391"/>
        <v>0</v>
      </c>
      <c r="CU1576" s="113"/>
      <c r="CV1576" s="114"/>
      <c r="CW1576" s="115"/>
      <c r="CX1576" s="116"/>
      <c r="CY1576" s="117"/>
      <c r="CZ1576" s="116"/>
      <c r="DA1576" s="113"/>
      <c r="DB1576" s="114"/>
      <c r="DC1576" s="64"/>
      <c r="DD1576" s="118"/>
    </row>
    <row r="1577" spans="1:108" s="119" customFormat="1" ht="72" outlineLevel="2">
      <c r="A1577" s="178">
        <v>40516</v>
      </c>
      <c r="B1577" s="164" t="s">
        <v>1768</v>
      </c>
      <c r="C1577" s="164" t="s">
        <v>930</v>
      </c>
      <c r="D1577" s="166" t="s">
        <v>1182</v>
      </c>
      <c r="E1577" s="163"/>
      <c r="F1577" s="105"/>
      <c r="G1577" s="105"/>
      <c r="H1577" s="105">
        <v>514</v>
      </c>
      <c r="I1577" s="105">
        <v>103</v>
      </c>
      <c r="J1577" s="105"/>
      <c r="K1577" s="105">
        <v>103</v>
      </c>
      <c r="L1577" s="105"/>
      <c r="M1577" s="105"/>
      <c r="N1577" s="105"/>
      <c r="O1577" s="105">
        <v>1</v>
      </c>
      <c r="P1577" s="105"/>
      <c r="Q1577" s="105"/>
      <c r="R1577" s="105"/>
      <c r="S1577" s="105"/>
      <c r="T1577" s="106"/>
      <c r="U1577" s="130"/>
      <c r="V1577" s="1"/>
      <c r="W1577" s="68">
        <f t="shared" si="386"/>
        <v>0</v>
      </c>
      <c r="X1577" s="68">
        <f t="shared" si="387"/>
        <v>0</v>
      </c>
      <c r="Y1577" s="68">
        <f t="shared" si="388"/>
        <v>0</v>
      </c>
      <c r="Z1577" s="68">
        <f t="shared" si="389"/>
        <v>0</v>
      </c>
      <c r="AA1577" s="68"/>
      <c r="AB1577" s="68">
        <v>0</v>
      </c>
      <c r="AC1577" s="69">
        <f t="shared" si="390"/>
        <v>0</v>
      </c>
      <c r="AD1577" s="70">
        <v>0</v>
      </c>
      <c r="AE1577" s="63"/>
      <c r="AF1577" s="72"/>
      <c r="AG1577" s="63"/>
      <c r="AH1577" s="23"/>
      <c r="AI1577" s="60"/>
      <c r="AJ1577" s="124"/>
      <c r="AK1577" s="121" t="s">
        <v>2426</v>
      </c>
      <c r="AL1577" s="107"/>
      <c r="AM1577" s="108"/>
      <c r="AN1577" s="109"/>
      <c r="AO1577" s="108"/>
      <c r="AP1577" s="108"/>
      <c r="AQ1577" s="108"/>
      <c r="AR1577" s="108"/>
      <c r="AS1577" s="108"/>
      <c r="AT1577" s="108"/>
      <c r="AU1577" s="108"/>
      <c r="AV1577" s="108"/>
      <c r="AW1577" s="108"/>
      <c r="AX1577" s="108"/>
      <c r="AY1577" s="108"/>
      <c r="AZ1577" s="108"/>
      <c r="BA1577" s="108"/>
      <c r="BB1577" s="108"/>
      <c r="BC1577" s="108"/>
      <c r="BD1577" s="108"/>
      <c r="BE1577" s="108"/>
      <c r="BF1577" s="108"/>
      <c r="BG1577" s="108"/>
      <c r="BH1577" s="108"/>
      <c r="BI1577" s="108"/>
      <c r="BJ1577" s="108"/>
      <c r="BK1577" s="108"/>
      <c r="BL1577" s="108"/>
      <c r="BM1577" s="108"/>
      <c r="BN1577" s="108"/>
      <c r="BO1577" s="108"/>
      <c r="BP1577" s="108"/>
      <c r="BQ1577" s="108"/>
      <c r="BR1577" s="108"/>
      <c r="BS1577" s="108"/>
      <c r="BT1577" s="108"/>
      <c r="BU1577" s="108"/>
      <c r="BV1577" s="108"/>
      <c r="BW1577" s="108"/>
      <c r="BX1577" s="108"/>
      <c r="BY1577" s="108"/>
      <c r="BZ1577" s="108"/>
      <c r="CA1577" s="108"/>
      <c r="CB1577" s="108"/>
      <c r="CC1577" s="108"/>
      <c r="CD1577" s="108"/>
      <c r="CE1577" s="108"/>
      <c r="CF1577" s="108"/>
      <c r="CG1577" s="108"/>
      <c r="CH1577" s="108"/>
      <c r="CI1577" s="108"/>
      <c r="CJ1577" s="108"/>
      <c r="CK1577" s="108"/>
      <c r="CL1577" s="108"/>
      <c r="CM1577" s="108"/>
      <c r="CN1577" s="110"/>
      <c r="CO1577" s="111"/>
      <c r="CP1577" s="110"/>
      <c r="CQ1577" s="111"/>
      <c r="CR1577" s="110"/>
      <c r="CS1577" s="111"/>
      <c r="CT1577" s="112">
        <f t="shared" si="391"/>
        <v>0</v>
      </c>
      <c r="CU1577" s="113"/>
      <c r="CV1577" s="114"/>
      <c r="CW1577" s="115"/>
      <c r="CX1577" s="116"/>
      <c r="CY1577" s="117"/>
      <c r="CZ1577" s="116"/>
      <c r="DA1577" s="113"/>
      <c r="DB1577" s="114"/>
      <c r="DC1577" s="64"/>
      <c r="DD1577" s="118"/>
    </row>
    <row r="1578" spans="1:108" s="119" customFormat="1" ht="36" outlineLevel="2">
      <c r="A1578" s="178">
        <v>40516</v>
      </c>
      <c r="B1578" s="164" t="s">
        <v>1768</v>
      </c>
      <c r="C1578" s="164" t="s">
        <v>1846</v>
      </c>
      <c r="D1578" s="166" t="s">
        <v>1262</v>
      </c>
      <c r="E1578" s="163"/>
      <c r="F1578" s="105"/>
      <c r="G1578" s="105"/>
      <c r="H1578" s="105">
        <v>120</v>
      </c>
      <c r="I1578" s="105">
        <v>24</v>
      </c>
      <c r="J1578" s="105"/>
      <c r="K1578" s="105">
        <v>24</v>
      </c>
      <c r="L1578" s="105"/>
      <c r="M1578" s="105"/>
      <c r="N1578" s="105"/>
      <c r="O1578" s="105"/>
      <c r="P1578" s="105"/>
      <c r="Q1578" s="105"/>
      <c r="R1578" s="105"/>
      <c r="S1578" s="105"/>
      <c r="T1578" s="106"/>
      <c r="U1578" s="130"/>
      <c r="V1578" s="1"/>
      <c r="W1578" s="68">
        <f t="shared" si="386"/>
        <v>0</v>
      </c>
      <c r="X1578" s="68">
        <f t="shared" si="387"/>
        <v>0</v>
      </c>
      <c r="Y1578" s="68">
        <f t="shared" si="388"/>
        <v>0</v>
      </c>
      <c r="Z1578" s="68">
        <f t="shared" si="389"/>
        <v>0</v>
      </c>
      <c r="AA1578" s="68"/>
      <c r="AB1578" s="68">
        <v>0</v>
      </c>
      <c r="AC1578" s="69">
        <f t="shared" si="390"/>
        <v>0</v>
      </c>
      <c r="AD1578" s="70">
        <v>0</v>
      </c>
      <c r="AE1578" s="63"/>
      <c r="AF1578" s="72"/>
      <c r="AG1578" s="63"/>
      <c r="AH1578" s="23"/>
      <c r="AI1578" s="60"/>
      <c r="AJ1578" s="124"/>
      <c r="AK1578" s="121" t="s">
        <v>2214</v>
      </c>
      <c r="AL1578" s="107"/>
      <c r="AM1578" s="108"/>
      <c r="AN1578" s="109"/>
      <c r="AO1578" s="108"/>
      <c r="AP1578" s="108"/>
      <c r="AQ1578" s="108"/>
      <c r="AR1578" s="108"/>
      <c r="AS1578" s="108"/>
      <c r="AT1578" s="108"/>
      <c r="AU1578" s="108"/>
      <c r="AV1578" s="108"/>
      <c r="AW1578" s="108"/>
      <c r="AX1578" s="108"/>
      <c r="AY1578" s="108"/>
      <c r="AZ1578" s="108"/>
      <c r="BA1578" s="108"/>
      <c r="BB1578" s="108"/>
      <c r="BC1578" s="108"/>
      <c r="BD1578" s="108"/>
      <c r="BE1578" s="108"/>
      <c r="BF1578" s="108"/>
      <c r="BG1578" s="108"/>
      <c r="BH1578" s="108"/>
      <c r="BI1578" s="108"/>
      <c r="BJ1578" s="108"/>
      <c r="BK1578" s="108"/>
      <c r="BL1578" s="108"/>
      <c r="BM1578" s="108"/>
      <c r="BN1578" s="108"/>
      <c r="BO1578" s="108"/>
      <c r="BP1578" s="108"/>
      <c r="BQ1578" s="108"/>
      <c r="BR1578" s="108"/>
      <c r="BS1578" s="108"/>
      <c r="BT1578" s="108"/>
      <c r="BU1578" s="108"/>
      <c r="BV1578" s="108"/>
      <c r="BW1578" s="108"/>
      <c r="BX1578" s="108"/>
      <c r="BY1578" s="108"/>
      <c r="BZ1578" s="108"/>
      <c r="CA1578" s="108"/>
      <c r="CB1578" s="108"/>
      <c r="CC1578" s="108"/>
      <c r="CD1578" s="108"/>
      <c r="CE1578" s="108"/>
      <c r="CF1578" s="108"/>
      <c r="CG1578" s="108"/>
      <c r="CH1578" s="108"/>
      <c r="CI1578" s="108"/>
      <c r="CJ1578" s="108"/>
      <c r="CK1578" s="108"/>
      <c r="CL1578" s="108"/>
      <c r="CM1578" s="108"/>
      <c r="CN1578" s="110"/>
      <c r="CO1578" s="111"/>
      <c r="CP1578" s="110"/>
      <c r="CQ1578" s="111"/>
      <c r="CR1578" s="110"/>
      <c r="CS1578" s="111"/>
      <c r="CT1578" s="112">
        <f t="shared" si="391"/>
        <v>0</v>
      </c>
      <c r="CU1578" s="113"/>
      <c r="CV1578" s="114"/>
      <c r="CW1578" s="115"/>
      <c r="CX1578" s="116"/>
      <c r="CY1578" s="117"/>
      <c r="CZ1578" s="116"/>
      <c r="DA1578" s="113"/>
      <c r="DB1578" s="114"/>
      <c r="DC1578" s="64"/>
      <c r="DD1578" s="118"/>
    </row>
    <row r="1579" spans="1:108" s="119" customFormat="1" ht="36" outlineLevel="2">
      <c r="A1579" s="178">
        <v>41255</v>
      </c>
      <c r="B1579" s="164" t="s">
        <v>1768</v>
      </c>
      <c r="C1579" s="164" t="s">
        <v>1107</v>
      </c>
      <c r="D1579" s="166" t="s">
        <v>1262</v>
      </c>
      <c r="E1579" s="163"/>
      <c r="F1579" s="105"/>
      <c r="G1579" s="105">
        <v>1</v>
      </c>
      <c r="H1579" s="105">
        <v>12</v>
      </c>
      <c r="I1579" s="105">
        <v>2</v>
      </c>
      <c r="J1579" s="105"/>
      <c r="K1579" s="105">
        <v>2</v>
      </c>
      <c r="L1579" s="105"/>
      <c r="M1579" s="105"/>
      <c r="N1579" s="105"/>
      <c r="O1579" s="105"/>
      <c r="P1579" s="105"/>
      <c r="Q1579" s="105"/>
      <c r="R1579" s="105"/>
      <c r="S1579" s="105"/>
      <c r="T1579" s="106"/>
      <c r="U1579" s="130"/>
      <c r="V1579" s="1"/>
      <c r="W1579" s="68">
        <f t="shared" si="386"/>
        <v>0</v>
      </c>
      <c r="X1579" s="68">
        <f t="shared" si="387"/>
        <v>0</v>
      </c>
      <c r="Y1579" s="68">
        <f t="shared" si="388"/>
        <v>0</v>
      </c>
      <c r="Z1579" s="68">
        <f t="shared" si="389"/>
        <v>0</v>
      </c>
      <c r="AA1579" s="68"/>
      <c r="AB1579" s="68">
        <v>0</v>
      </c>
      <c r="AC1579" s="69">
        <f t="shared" si="390"/>
        <v>0</v>
      </c>
      <c r="AD1579" s="70">
        <v>0</v>
      </c>
      <c r="AE1579" s="63"/>
      <c r="AF1579" s="72"/>
      <c r="AG1579" s="63"/>
      <c r="AH1579" s="23"/>
      <c r="AI1579" s="60"/>
      <c r="AJ1579" s="124"/>
      <c r="AK1579" s="121" t="s">
        <v>2417</v>
      </c>
      <c r="AL1579" s="107"/>
      <c r="AM1579" s="108"/>
      <c r="AN1579" s="109"/>
      <c r="AO1579" s="108"/>
      <c r="AP1579" s="108"/>
      <c r="AQ1579" s="108"/>
      <c r="AR1579" s="108"/>
      <c r="AS1579" s="108"/>
      <c r="AT1579" s="108"/>
      <c r="AU1579" s="108"/>
      <c r="AV1579" s="108"/>
      <c r="AW1579" s="108"/>
      <c r="AX1579" s="108"/>
      <c r="AY1579" s="108"/>
      <c r="AZ1579" s="108"/>
      <c r="BA1579" s="108"/>
      <c r="BB1579" s="108"/>
      <c r="BC1579" s="108"/>
      <c r="BD1579" s="108"/>
      <c r="BE1579" s="108"/>
      <c r="BF1579" s="108"/>
      <c r="BG1579" s="108"/>
      <c r="BH1579" s="108"/>
      <c r="BI1579" s="108"/>
      <c r="BJ1579" s="108"/>
      <c r="BK1579" s="108"/>
      <c r="BL1579" s="108"/>
      <c r="BM1579" s="108"/>
      <c r="BN1579" s="108"/>
      <c r="BO1579" s="108"/>
      <c r="BP1579" s="108"/>
      <c r="BQ1579" s="108"/>
      <c r="BR1579" s="108"/>
      <c r="BS1579" s="108"/>
      <c r="BT1579" s="108"/>
      <c r="BU1579" s="108"/>
      <c r="BV1579" s="108"/>
      <c r="BW1579" s="108"/>
      <c r="BX1579" s="108"/>
      <c r="BY1579" s="108"/>
      <c r="BZ1579" s="108"/>
      <c r="CA1579" s="108"/>
      <c r="CB1579" s="108"/>
      <c r="CC1579" s="108"/>
      <c r="CD1579" s="108"/>
      <c r="CE1579" s="108"/>
      <c r="CF1579" s="108"/>
      <c r="CG1579" s="108"/>
      <c r="CH1579" s="108"/>
      <c r="CI1579" s="108"/>
      <c r="CJ1579" s="108"/>
      <c r="CK1579" s="108"/>
      <c r="CL1579" s="108"/>
      <c r="CM1579" s="108"/>
      <c r="CN1579" s="110"/>
      <c r="CO1579" s="111"/>
      <c r="CP1579" s="110"/>
      <c r="CQ1579" s="111"/>
      <c r="CR1579" s="110"/>
      <c r="CS1579" s="111"/>
      <c r="CT1579" s="112">
        <f t="shared" si="391"/>
        <v>0</v>
      </c>
      <c r="CU1579" s="113"/>
      <c r="CV1579" s="114"/>
      <c r="CW1579" s="115"/>
      <c r="CX1579" s="116"/>
      <c r="CY1579" s="117"/>
      <c r="CZ1579" s="116"/>
      <c r="DA1579" s="113"/>
      <c r="DB1579" s="114"/>
      <c r="DC1579" s="64"/>
      <c r="DD1579" s="118"/>
    </row>
    <row r="1580" spans="1:108" s="119" customFormat="1" ht="36" outlineLevel="2">
      <c r="A1580" s="178">
        <v>40525</v>
      </c>
      <c r="B1580" s="164" t="s">
        <v>1768</v>
      </c>
      <c r="C1580" s="164" t="s">
        <v>1692</v>
      </c>
      <c r="D1580" s="166" t="s">
        <v>1262</v>
      </c>
      <c r="E1580" s="163"/>
      <c r="F1580" s="105"/>
      <c r="G1580" s="105"/>
      <c r="H1580" s="105">
        <v>1000</v>
      </c>
      <c r="I1580" s="105">
        <v>200</v>
      </c>
      <c r="J1580" s="105"/>
      <c r="K1580" s="105">
        <v>200</v>
      </c>
      <c r="L1580" s="105"/>
      <c r="M1580" s="105"/>
      <c r="N1580" s="105"/>
      <c r="O1580" s="105"/>
      <c r="P1580" s="105"/>
      <c r="Q1580" s="105"/>
      <c r="R1580" s="105"/>
      <c r="S1580" s="105"/>
      <c r="T1580" s="106"/>
      <c r="U1580" s="130"/>
      <c r="V1580" s="1"/>
      <c r="W1580" s="68">
        <f t="shared" si="386"/>
        <v>0</v>
      </c>
      <c r="X1580" s="68">
        <f t="shared" si="387"/>
        <v>0</v>
      </c>
      <c r="Y1580" s="68">
        <f t="shared" si="388"/>
        <v>0</v>
      </c>
      <c r="Z1580" s="68">
        <f t="shared" si="389"/>
        <v>0</v>
      </c>
      <c r="AA1580" s="68"/>
      <c r="AB1580" s="68">
        <v>0</v>
      </c>
      <c r="AC1580" s="69">
        <f t="shared" si="390"/>
        <v>0</v>
      </c>
      <c r="AD1580" s="70">
        <v>0</v>
      </c>
      <c r="AE1580" s="63"/>
      <c r="AF1580" s="72"/>
      <c r="AG1580" s="63"/>
      <c r="AH1580" s="23"/>
      <c r="AI1580" s="60"/>
      <c r="AJ1580" s="124"/>
      <c r="AK1580" s="121" t="s">
        <v>2427</v>
      </c>
      <c r="AL1580" s="107"/>
      <c r="AM1580" s="108"/>
      <c r="AN1580" s="109"/>
      <c r="AO1580" s="108"/>
      <c r="AP1580" s="108"/>
      <c r="AQ1580" s="108"/>
      <c r="AR1580" s="108"/>
      <c r="AS1580" s="108"/>
      <c r="AT1580" s="108"/>
      <c r="AU1580" s="108"/>
      <c r="AV1580" s="108"/>
      <c r="AW1580" s="108"/>
      <c r="AX1580" s="108"/>
      <c r="AY1580" s="108"/>
      <c r="AZ1580" s="108"/>
      <c r="BA1580" s="108"/>
      <c r="BB1580" s="108"/>
      <c r="BC1580" s="108"/>
      <c r="BD1580" s="108"/>
      <c r="BE1580" s="108"/>
      <c r="BF1580" s="108"/>
      <c r="BG1580" s="108"/>
      <c r="BH1580" s="108"/>
      <c r="BI1580" s="108"/>
      <c r="BJ1580" s="108"/>
      <c r="BK1580" s="108"/>
      <c r="BL1580" s="108"/>
      <c r="BM1580" s="108"/>
      <c r="BN1580" s="108"/>
      <c r="BO1580" s="108"/>
      <c r="BP1580" s="108"/>
      <c r="BQ1580" s="108"/>
      <c r="BR1580" s="108"/>
      <c r="BS1580" s="108"/>
      <c r="BT1580" s="108"/>
      <c r="BU1580" s="108"/>
      <c r="BV1580" s="108"/>
      <c r="BW1580" s="108"/>
      <c r="BX1580" s="108"/>
      <c r="BY1580" s="108"/>
      <c r="BZ1580" s="108"/>
      <c r="CA1580" s="108"/>
      <c r="CB1580" s="108"/>
      <c r="CC1580" s="108"/>
      <c r="CD1580" s="108"/>
      <c r="CE1580" s="108"/>
      <c r="CF1580" s="108"/>
      <c r="CG1580" s="108"/>
      <c r="CH1580" s="108"/>
      <c r="CI1580" s="108"/>
      <c r="CJ1580" s="108"/>
      <c r="CK1580" s="108"/>
      <c r="CL1580" s="108"/>
      <c r="CM1580" s="108"/>
      <c r="CN1580" s="110"/>
      <c r="CO1580" s="111"/>
      <c r="CP1580" s="110"/>
      <c r="CQ1580" s="111"/>
      <c r="CR1580" s="110"/>
      <c r="CS1580" s="111"/>
      <c r="CT1580" s="112">
        <f t="shared" si="391"/>
        <v>0</v>
      </c>
      <c r="CU1580" s="113"/>
      <c r="CV1580" s="114"/>
      <c r="CW1580" s="115"/>
      <c r="CX1580" s="116"/>
      <c r="CY1580" s="117"/>
      <c r="CZ1580" s="116"/>
      <c r="DA1580" s="113"/>
      <c r="DB1580" s="114"/>
      <c r="DC1580" s="64"/>
      <c r="DD1580" s="118"/>
    </row>
    <row r="1581" spans="1:108" s="119" customFormat="1" ht="22.5" outlineLevel="1">
      <c r="A1581" s="63"/>
      <c r="B1581" s="192" t="s">
        <v>2465</v>
      </c>
      <c r="C1581" s="164"/>
      <c r="D1581" s="164"/>
      <c r="E1581" s="194">
        <f t="shared" ref="E1581:T1581" si="392">SUBTOTAL(9,E1477:E1580)</f>
        <v>9</v>
      </c>
      <c r="F1581" s="194">
        <f t="shared" si="392"/>
        <v>8</v>
      </c>
      <c r="G1581" s="194">
        <f t="shared" si="392"/>
        <v>1</v>
      </c>
      <c r="H1581" s="194">
        <f t="shared" si="392"/>
        <v>94588</v>
      </c>
      <c r="I1581" s="194">
        <f t="shared" si="392"/>
        <v>20115</v>
      </c>
      <c r="J1581" s="194">
        <f t="shared" si="392"/>
        <v>12</v>
      </c>
      <c r="K1581" s="194">
        <f t="shared" si="392"/>
        <v>18929</v>
      </c>
      <c r="L1581" s="194">
        <f t="shared" si="392"/>
        <v>37</v>
      </c>
      <c r="M1581" s="194">
        <f t="shared" si="392"/>
        <v>0</v>
      </c>
      <c r="N1581" s="194">
        <f t="shared" si="392"/>
        <v>0</v>
      </c>
      <c r="O1581" s="194">
        <f t="shared" si="392"/>
        <v>8</v>
      </c>
      <c r="P1581" s="194">
        <f t="shared" si="392"/>
        <v>0</v>
      </c>
      <c r="Q1581" s="194">
        <f t="shared" si="392"/>
        <v>0</v>
      </c>
      <c r="R1581" s="194">
        <f t="shared" si="392"/>
        <v>6</v>
      </c>
      <c r="S1581" s="194">
        <f t="shared" si="392"/>
        <v>10</v>
      </c>
      <c r="T1581" s="194">
        <f t="shared" si="392"/>
        <v>8</v>
      </c>
      <c r="U1581" s="195"/>
      <c r="V1581" s="63"/>
      <c r="W1581" s="196">
        <f t="shared" ref="W1581:AD1581" si="393">SUBTOTAL(9,W1477:W1580)</f>
        <v>209009606</v>
      </c>
      <c r="X1581" s="196">
        <f t="shared" si="393"/>
        <v>351984230</v>
      </c>
      <c r="Y1581" s="196">
        <f t="shared" si="393"/>
        <v>171147910</v>
      </c>
      <c r="Z1581" s="196">
        <f t="shared" si="393"/>
        <v>0</v>
      </c>
      <c r="AA1581" s="196">
        <f t="shared" si="393"/>
        <v>40170800</v>
      </c>
      <c r="AB1581" s="196">
        <f t="shared" si="393"/>
        <v>208510100</v>
      </c>
      <c r="AC1581" s="196">
        <f t="shared" si="393"/>
        <v>980822646</v>
      </c>
      <c r="AD1581" s="197">
        <f t="shared" si="393"/>
        <v>570273000</v>
      </c>
      <c r="AE1581" s="63"/>
      <c r="AF1581" s="72"/>
      <c r="AG1581" s="63"/>
      <c r="AH1581" s="23"/>
      <c r="AI1581" s="60"/>
      <c r="AJ1581" s="124"/>
      <c r="AK1581" s="121"/>
      <c r="AL1581" s="107"/>
      <c r="AM1581" s="108"/>
      <c r="AN1581" s="109"/>
      <c r="AO1581" s="108"/>
      <c r="AP1581" s="108"/>
      <c r="AQ1581" s="108"/>
      <c r="AR1581" s="108"/>
      <c r="AS1581" s="108"/>
      <c r="AT1581" s="108"/>
      <c r="AU1581" s="108"/>
      <c r="AV1581" s="108"/>
      <c r="AW1581" s="108"/>
      <c r="AX1581" s="108"/>
      <c r="AY1581" s="108"/>
      <c r="AZ1581" s="108"/>
      <c r="BA1581" s="108"/>
      <c r="BB1581" s="108"/>
      <c r="BC1581" s="108"/>
      <c r="BD1581" s="108"/>
      <c r="BE1581" s="108"/>
      <c r="BF1581" s="108"/>
      <c r="BG1581" s="108"/>
      <c r="BH1581" s="108"/>
      <c r="BI1581" s="108"/>
      <c r="BJ1581" s="108"/>
      <c r="BK1581" s="108"/>
      <c r="BL1581" s="108"/>
      <c r="BM1581" s="108"/>
      <c r="BN1581" s="108"/>
      <c r="BO1581" s="108"/>
      <c r="BP1581" s="108"/>
      <c r="BQ1581" s="108"/>
      <c r="BR1581" s="108"/>
      <c r="BS1581" s="108"/>
      <c r="BT1581" s="108"/>
      <c r="BU1581" s="108"/>
      <c r="BV1581" s="108"/>
      <c r="BW1581" s="108"/>
      <c r="BX1581" s="108"/>
      <c r="BY1581" s="108"/>
      <c r="BZ1581" s="108"/>
      <c r="CA1581" s="108"/>
      <c r="CB1581" s="108"/>
      <c r="CC1581" s="108"/>
      <c r="CD1581" s="108"/>
      <c r="CE1581" s="108"/>
      <c r="CF1581" s="108"/>
      <c r="CG1581" s="108"/>
      <c r="CH1581" s="108"/>
      <c r="CI1581" s="108"/>
      <c r="CJ1581" s="108"/>
      <c r="CK1581" s="108"/>
      <c r="CL1581" s="108"/>
      <c r="CM1581" s="108"/>
      <c r="CN1581" s="110"/>
      <c r="CO1581" s="111"/>
      <c r="CP1581" s="110"/>
      <c r="CQ1581" s="111"/>
      <c r="CR1581" s="110"/>
      <c r="CS1581" s="111"/>
      <c r="CT1581" s="112"/>
      <c r="CU1581" s="113"/>
      <c r="CV1581" s="114"/>
      <c r="CW1581" s="115"/>
      <c r="CX1581" s="116"/>
      <c r="CY1581" s="117"/>
      <c r="CZ1581" s="116"/>
      <c r="DA1581" s="113"/>
      <c r="DB1581" s="114"/>
      <c r="DC1581" s="64"/>
      <c r="DD1581" s="118"/>
    </row>
    <row r="1582" spans="1:108" s="119" customFormat="1" ht="22.5" customHeight="1">
      <c r="A1582" s="63"/>
      <c r="B1582" s="192" t="s">
        <v>1939</v>
      </c>
      <c r="C1582" s="164"/>
      <c r="D1582" s="164"/>
      <c r="E1582" s="194">
        <f t="shared" ref="E1582:T1582" si="394">SUBTOTAL(9,E3:E1580)</f>
        <v>257</v>
      </c>
      <c r="F1582" s="194">
        <f t="shared" si="394"/>
        <v>268</v>
      </c>
      <c r="G1582" s="194">
        <f t="shared" si="394"/>
        <v>75</v>
      </c>
      <c r="H1582" s="194">
        <f t="shared" si="394"/>
        <v>1967998</v>
      </c>
      <c r="I1582" s="194">
        <f t="shared" si="394"/>
        <v>404080</v>
      </c>
      <c r="J1582" s="194">
        <f t="shared" si="394"/>
        <v>3000</v>
      </c>
      <c r="K1582" s="194">
        <f t="shared" si="394"/>
        <v>303155</v>
      </c>
      <c r="L1582" s="194">
        <f t="shared" si="394"/>
        <v>678</v>
      </c>
      <c r="M1582" s="194">
        <f t="shared" si="394"/>
        <v>57</v>
      </c>
      <c r="N1582" s="194">
        <f t="shared" si="394"/>
        <v>53</v>
      </c>
      <c r="O1582" s="194">
        <f t="shared" si="394"/>
        <v>118</v>
      </c>
      <c r="P1582" s="194">
        <f t="shared" si="394"/>
        <v>16</v>
      </c>
      <c r="Q1582" s="194">
        <f t="shared" si="394"/>
        <v>12</v>
      </c>
      <c r="R1582" s="194">
        <f t="shared" si="394"/>
        <v>142</v>
      </c>
      <c r="S1582" s="194">
        <f t="shared" si="394"/>
        <v>37</v>
      </c>
      <c r="T1582" s="194">
        <f t="shared" si="394"/>
        <v>97565.25</v>
      </c>
      <c r="U1582" s="195"/>
      <c r="V1582" s="63"/>
      <c r="W1582" s="196">
        <f t="shared" ref="W1582:AD1582" si="395">SUBTOTAL(9,W3:W1580)</f>
        <v>8633448254.6800003</v>
      </c>
      <c r="X1582" s="198">
        <f t="shared" si="395"/>
        <v>18965601717.880001</v>
      </c>
      <c r="Y1582" s="196">
        <f t="shared" si="395"/>
        <v>963865086.19999993</v>
      </c>
      <c r="Z1582" s="198">
        <f t="shared" si="395"/>
        <v>3209012240</v>
      </c>
      <c r="AA1582" s="196">
        <f t="shared" si="395"/>
        <v>945354690</v>
      </c>
      <c r="AB1582" s="196">
        <f t="shared" si="395"/>
        <v>4186674965.8599997</v>
      </c>
      <c r="AC1582" s="196">
        <f t="shared" si="395"/>
        <v>36988276954.620003</v>
      </c>
      <c r="AD1582" s="197">
        <f t="shared" si="395"/>
        <v>8273314064.8000002</v>
      </c>
      <c r="AE1582" s="63"/>
      <c r="AF1582" s="72"/>
      <c r="AG1582" s="63"/>
      <c r="AH1582" s="23"/>
      <c r="AI1582" s="60"/>
      <c r="AJ1582" s="124"/>
      <c r="AK1582" s="121"/>
      <c r="AL1582" s="107"/>
      <c r="AM1582" s="108"/>
      <c r="AN1582" s="109"/>
      <c r="AO1582" s="108"/>
      <c r="AP1582" s="108"/>
      <c r="AQ1582" s="108"/>
      <c r="AR1582" s="108"/>
      <c r="AS1582" s="108"/>
      <c r="AT1582" s="108"/>
      <c r="AU1582" s="108"/>
      <c r="AV1582" s="108"/>
      <c r="AW1582" s="108"/>
      <c r="AX1582" s="108"/>
      <c r="AY1582" s="108"/>
      <c r="AZ1582" s="108"/>
      <c r="BA1582" s="108"/>
      <c r="BB1582" s="108"/>
      <c r="BC1582" s="108"/>
      <c r="BD1582" s="108"/>
      <c r="BE1582" s="108"/>
      <c r="BF1582" s="108"/>
      <c r="BG1582" s="108"/>
      <c r="BH1582" s="108"/>
      <c r="BI1582" s="108"/>
      <c r="BJ1582" s="108"/>
      <c r="BK1582" s="108"/>
      <c r="BL1582" s="108"/>
      <c r="BM1582" s="108"/>
      <c r="BN1582" s="108"/>
      <c r="BO1582" s="108"/>
      <c r="BP1582" s="108"/>
      <c r="BQ1582" s="108"/>
      <c r="BR1582" s="108"/>
      <c r="BS1582" s="108"/>
      <c r="BT1582" s="108"/>
      <c r="BU1582" s="108"/>
      <c r="BV1582" s="108"/>
      <c r="BW1582" s="108"/>
      <c r="BX1582" s="108"/>
      <c r="BY1582" s="108"/>
      <c r="BZ1582" s="108"/>
      <c r="CA1582" s="108"/>
      <c r="CB1582" s="108"/>
      <c r="CC1582" s="108"/>
      <c r="CD1582" s="108"/>
      <c r="CE1582" s="108"/>
      <c r="CF1582" s="108"/>
      <c r="CG1582" s="108"/>
      <c r="CH1582" s="108"/>
      <c r="CI1582" s="108"/>
      <c r="CJ1582" s="108"/>
      <c r="CK1582" s="108"/>
      <c r="CL1582" s="108"/>
      <c r="CM1582" s="108"/>
      <c r="CN1582" s="110"/>
      <c r="CO1582" s="111"/>
      <c r="CP1582" s="110"/>
      <c r="CQ1582" s="111"/>
      <c r="CR1582" s="110"/>
      <c r="CS1582" s="111"/>
      <c r="CT1582" s="112"/>
      <c r="CU1582" s="113"/>
      <c r="CV1582" s="114"/>
      <c r="CW1582" s="115"/>
      <c r="CX1582" s="116"/>
      <c r="CY1582" s="117"/>
      <c r="CZ1582" s="116"/>
      <c r="DA1582" s="113"/>
      <c r="DB1582" s="114"/>
      <c r="DC1582" s="64"/>
      <c r="DD1582" s="118"/>
    </row>
    <row r="1583" spans="1:108" ht="24.95" customHeight="1">
      <c r="A1583" s="13"/>
      <c r="B1583" s="27"/>
      <c r="C1583" s="32"/>
      <c r="D1583" s="27"/>
      <c r="E1583" s="28"/>
      <c r="F1583" s="28"/>
      <c r="G1583" s="28"/>
      <c r="H1583" s="28"/>
      <c r="I1583" s="28"/>
      <c r="J1583" s="28"/>
      <c r="K1583" s="28"/>
      <c r="L1583" s="28"/>
      <c r="M1583" s="28"/>
      <c r="N1583" s="28"/>
      <c r="O1583" s="28"/>
      <c r="P1583" s="28"/>
      <c r="Q1583" s="28"/>
      <c r="R1583" s="28"/>
      <c r="S1583" s="28"/>
      <c r="T1583" s="28"/>
      <c r="U1583" s="152"/>
      <c r="V1583" s="28"/>
      <c r="W1583" s="28"/>
      <c r="X1583" s="28"/>
      <c r="Y1583" s="28"/>
      <c r="Z1583" s="28"/>
      <c r="AA1583" s="28"/>
      <c r="AB1583" s="28"/>
      <c r="AC1583" s="28"/>
      <c r="AD1583" s="28"/>
      <c r="AE1583" s="14"/>
      <c r="AF1583" s="56"/>
      <c r="AG1583" s="14"/>
      <c r="AH1583" s="24"/>
      <c r="AI1583" s="61"/>
      <c r="AJ1583" s="159"/>
      <c r="AK1583" s="52"/>
      <c r="AL1583" s="29"/>
      <c r="AM1583" s="29"/>
      <c r="AN1583" s="29"/>
      <c r="AO1583" s="29"/>
      <c r="AP1583" s="29"/>
      <c r="AQ1583" s="29"/>
      <c r="AR1583" s="29"/>
      <c r="AS1583" s="29"/>
      <c r="AT1583" s="29"/>
      <c r="AU1583" s="29"/>
      <c r="AV1583" s="29"/>
      <c r="AW1583" s="29"/>
      <c r="AX1583" s="29"/>
      <c r="AY1583" s="29"/>
      <c r="AZ1583" s="29"/>
      <c r="BA1583" s="29"/>
      <c r="BB1583" s="29"/>
      <c r="BC1583" s="29"/>
      <c r="BD1583" s="29"/>
      <c r="BE1583" s="29"/>
      <c r="BF1583" s="29"/>
      <c r="BG1583" s="29"/>
      <c r="BH1583" s="29"/>
      <c r="BI1583" s="29"/>
      <c r="BJ1583" s="29"/>
      <c r="BK1583" s="29"/>
      <c r="BL1583" s="29"/>
      <c r="BM1583" s="29"/>
      <c r="BN1583" s="29"/>
      <c r="BO1583" s="29"/>
      <c r="BP1583" s="29"/>
      <c r="BQ1583" s="29"/>
      <c r="BR1583" s="29"/>
      <c r="BS1583" s="29"/>
      <c r="BT1583" s="29"/>
      <c r="BU1583" s="29"/>
      <c r="BV1583" s="29"/>
      <c r="BW1583" s="29"/>
      <c r="BX1583" s="29"/>
      <c r="BY1583" s="29"/>
      <c r="BZ1583" s="29"/>
      <c r="CA1583" s="29"/>
      <c r="CB1583" s="29"/>
      <c r="CC1583" s="29"/>
      <c r="CD1583" s="29"/>
      <c r="CE1583" s="29"/>
      <c r="CF1583" s="29"/>
      <c r="CG1583" s="29"/>
      <c r="CH1583" s="29"/>
      <c r="CI1583" s="29" t="s">
        <v>1263</v>
      </c>
      <c r="CJ1583" s="29"/>
      <c r="CK1583" s="29"/>
      <c r="CL1583" s="29"/>
      <c r="CM1583" s="29"/>
      <c r="CN1583" s="29"/>
      <c r="CO1583" s="29"/>
      <c r="CP1583" s="29"/>
      <c r="CQ1583" s="29"/>
      <c r="CR1583" s="29"/>
      <c r="CS1583" s="29"/>
      <c r="CT1583" s="29"/>
      <c r="CU1583" s="29"/>
      <c r="CV1583" s="29"/>
      <c r="CW1583" s="29"/>
      <c r="CX1583" s="29"/>
      <c r="CY1583" s="29"/>
      <c r="CZ1583" s="29"/>
      <c r="DA1583" s="29"/>
      <c r="DB1583" s="29"/>
      <c r="DC1583" s="29"/>
    </row>
    <row r="1584" spans="1:108" ht="54.75" customHeight="1">
      <c r="A1584" s="214" t="s">
        <v>1623</v>
      </c>
      <c r="B1584" s="214"/>
      <c r="C1584" s="214"/>
      <c r="D1584" s="214"/>
      <c r="E1584" s="30"/>
      <c r="F1584" s="28"/>
      <c r="G1584" s="28"/>
      <c r="H1584" s="28"/>
      <c r="I1584" s="28"/>
      <c r="J1584" s="28"/>
      <c r="K1584" s="28"/>
      <c r="L1584" s="28"/>
      <c r="M1584" s="28"/>
      <c r="N1584" s="28"/>
      <c r="O1584" s="28"/>
      <c r="P1584" s="28"/>
      <c r="Q1584" s="28"/>
      <c r="R1584" s="28"/>
      <c r="S1584" s="28"/>
      <c r="T1584" s="30"/>
      <c r="U1584" s="152"/>
      <c r="V1584" s="28"/>
      <c r="W1584" s="28"/>
      <c r="X1584" s="28"/>
      <c r="Y1584" s="28"/>
      <c r="Z1584" s="28"/>
      <c r="AA1584" s="28"/>
      <c r="AB1584" s="28"/>
      <c r="AC1584" s="28"/>
      <c r="AD1584" s="28"/>
      <c r="AE1584" s="14"/>
      <c r="AF1584" s="56"/>
      <c r="AG1584" s="14"/>
      <c r="AH1584" s="24"/>
      <c r="AI1584" s="184"/>
      <c r="AJ1584" s="159"/>
      <c r="AK1584" s="52"/>
      <c r="AL1584" s="29"/>
      <c r="AM1584" s="29"/>
      <c r="AN1584" s="29"/>
      <c r="AO1584" s="29"/>
      <c r="AP1584" s="29"/>
      <c r="AQ1584" s="29"/>
      <c r="AR1584" s="29"/>
      <c r="AS1584" s="29"/>
      <c r="AT1584" s="29"/>
      <c r="AU1584" s="29"/>
      <c r="AV1584" s="29"/>
      <c r="AW1584" s="29"/>
      <c r="AX1584" s="29"/>
      <c r="AY1584" s="29"/>
      <c r="AZ1584" s="29"/>
      <c r="BA1584" s="29"/>
      <c r="BB1584" s="29"/>
      <c r="BC1584" s="29"/>
      <c r="BD1584" s="29"/>
      <c r="BE1584" s="29"/>
      <c r="BF1584" s="29"/>
      <c r="BG1584" s="29"/>
      <c r="BH1584" s="29"/>
      <c r="BI1584" s="29"/>
      <c r="BJ1584" s="29"/>
      <c r="BK1584" s="29"/>
      <c r="BL1584" s="29"/>
      <c r="BM1584" s="29"/>
      <c r="BN1584" s="29"/>
      <c r="BO1584" s="29"/>
      <c r="BP1584" s="29"/>
      <c r="BQ1584" s="29"/>
      <c r="BR1584" s="29"/>
      <c r="BS1584" s="29"/>
      <c r="BT1584" s="29"/>
      <c r="BU1584" s="29"/>
      <c r="BV1584" s="29"/>
      <c r="BW1584" s="29"/>
      <c r="BX1584" s="29"/>
      <c r="BY1584" s="29"/>
      <c r="BZ1584" s="29"/>
      <c r="CA1584" s="29"/>
      <c r="CB1584" s="29"/>
      <c r="CC1584" s="29"/>
      <c r="CD1584" s="29"/>
      <c r="CE1584" s="29"/>
      <c r="CF1584" s="29"/>
      <c r="CG1584" s="29"/>
      <c r="CH1584" s="29"/>
      <c r="CI1584" s="29"/>
      <c r="CJ1584" s="29"/>
      <c r="CK1584" s="29"/>
      <c r="CL1584" s="29"/>
      <c r="CM1584" s="29"/>
      <c r="CN1584" s="29"/>
      <c r="CO1584" s="29"/>
      <c r="CP1584" s="29"/>
      <c r="CQ1584" s="29"/>
      <c r="CR1584" s="29"/>
      <c r="CS1584" s="29"/>
      <c r="CT1584" s="29"/>
      <c r="CU1584" s="29"/>
      <c r="CV1584" s="29"/>
      <c r="CW1584" s="29"/>
      <c r="CX1584" s="29"/>
      <c r="CY1584" s="29"/>
      <c r="CZ1584" s="29"/>
      <c r="DA1584" s="29"/>
      <c r="DB1584" s="29"/>
      <c r="DC1584" s="29"/>
    </row>
    <row r="1585" spans="1:107" ht="12.75" customHeight="1">
      <c r="X1585" s="18"/>
      <c r="Y1585" s="18"/>
      <c r="AC1585" s="31"/>
      <c r="AD1585" s="31" t="s">
        <v>1263</v>
      </c>
      <c r="AF1585" s="88"/>
      <c r="AI1585" s="146"/>
    </row>
    <row r="1586" spans="1:107" ht="33" customHeight="1">
      <c r="A1586" s="207" t="s">
        <v>2466</v>
      </c>
      <c r="B1586" s="207"/>
      <c r="C1586" s="207"/>
      <c r="D1586" s="207"/>
      <c r="M1586" s="2"/>
      <c r="N1586" s="2"/>
      <c r="X1586" s="18"/>
      <c r="Y1586" s="18"/>
      <c r="Z1586" s="128"/>
      <c r="AC1586" s="35"/>
      <c r="AE1586" s="128" t="s">
        <v>2391</v>
      </c>
      <c r="DC1586" s="128" t="s">
        <v>1263</v>
      </c>
    </row>
    <row r="1587" spans="1:107">
      <c r="B1587" s="31"/>
      <c r="H1587" s="22"/>
      <c r="I1587" s="128"/>
      <c r="X1587" s="18"/>
      <c r="Y1587" s="18"/>
      <c r="AC1587" s="80"/>
      <c r="AK1587" s="122" t="s">
        <v>1263</v>
      </c>
      <c r="CY1587" s="2">
        <f>2000+1059+1500+2198</f>
        <v>6757</v>
      </c>
    </row>
    <row r="1588" spans="1:107">
      <c r="B1588" s="31"/>
      <c r="C1588" s="128"/>
      <c r="X1588" s="18"/>
      <c r="Y1588" s="18"/>
      <c r="AC1588" s="80"/>
    </row>
    <row r="1589" spans="1:107">
      <c r="B1589" s="31"/>
      <c r="X1589" s="18"/>
      <c r="Y1589" s="18"/>
      <c r="AC1589" s="80"/>
    </row>
    <row r="1590" spans="1:107">
      <c r="B1590" s="31"/>
      <c r="X1590" s="18"/>
      <c r="Y1590" s="18"/>
      <c r="AC1590" s="80"/>
      <c r="AL1590" s="128" t="s">
        <v>1263</v>
      </c>
    </row>
    <row r="1591" spans="1:107">
      <c r="B1591" s="31"/>
      <c r="X1591" s="18"/>
      <c r="Y1591" s="18"/>
      <c r="AC1591" s="80"/>
    </row>
    <row r="1592" spans="1:107">
      <c r="B1592" s="31"/>
      <c r="C1592" s="85"/>
      <c r="X1592" s="18"/>
      <c r="Y1592" s="18"/>
      <c r="AC1592" s="80"/>
    </row>
    <row r="1593" spans="1:107">
      <c r="B1593" s="31"/>
      <c r="X1593" s="18"/>
      <c r="Y1593" s="18"/>
      <c r="AC1593" s="80"/>
    </row>
    <row r="1594" spans="1:107">
      <c r="B1594" s="31"/>
      <c r="X1594" s="18"/>
      <c r="Y1594" s="18"/>
      <c r="AC1594" s="80"/>
    </row>
    <row r="1595" spans="1:107">
      <c r="B1595" s="31"/>
      <c r="X1595" s="18"/>
      <c r="Y1595" s="18"/>
      <c r="AC1595" s="80"/>
    </row>
    <row r="1596" spans="1:107">
      <c r="B1596" s="31"/>
      <c r="X1596" s="18"/>
      <c r="Y1596" s="18"/>
      <c r="AC1596" s="80"/>
    </row>
    <row r="1597" spans="1:107">
      <c r="B1597" s="31"/>
      <c r="X1597" s="18"/>
      <c r="Y1597" s="18"/>
      <c r="AC1597" s="80"/>
    </row>
    <row r="1598" spans="1:107">
      <c r="B1598" s="31"/>
      <c r="X1598" s="19"/>
      <c r="Y1598" s="19"/>
      <c r="AC1598" s="80"/>
    </row>
    <row r="1599" spans="1:107">
      <c r="B1599" s="31"/>
      <c r="X1599" s="19"/>
      <c r="Y1599" s="19"/>
      <c r="AC1599" s="80"/>
    </row>
    <row r="1600" spans="1:107">
      <c r="B1600" s="31"/>
      <c r="X1600" s="19"/>
      <c r="Y1600" s="19"/>
      <c r="AC1600" s="80"/>
    </row>
    <row r="1601" spans="2:29">
      <c r="B1601" s="31"/>
      <c r="X1601" s="19"/>
      <c r="Y1601" s="19"/>
      <c r="AC1601" s="80"/>
    </row>
    <row r="1602" spans="2:29">
      <c r="B1602" s="31"/>
      <c r="X1602" s="19"/>
      <c r="Y1602" s="19"/>
      <c r="AC1602" s="31"/>
    </row>
    <row r="1603" spans="2:29">
      <c r="B1603" s="31"/>
      <c r="X1603" s="19"/>
      <c r="Y1603" s="19"/>
      <c r="AC1603" s="31"/>
    </row>
    <row r="1604" spans="2:29">
      <c r="B1604" s="31"/>
      <c r="X1604" s="19"/>
      <c r="Y1604" s="19"/>
    </row>
    <row r="1605" spans="2:29">
      <c r="B1605" s="31"/>
      <c r="X1605" s="19"/>
      <c r="Y1605" s="19"/>
      <c r="AC1605" s="31"/>
    </row>
    <row r="1606" spans="2:29">
      <c r="B1606" s="31"/>
      <c r="X1606" s="19"/>
      <c r="Y1606" s="19"/>
    </row>
    <row r="1607" spans="2:29">
      <c r="B1607" s="31"/>
      <c r="X1607" s="19"/>
      <c r="Y1607" s="19"/>
    </row>
    <row r="1608" spans="2:29">
      <c r="B1608" s="31"/>
      <c r="X1608" s="19"/>
      <c r="Y1608" s="19"/>
    </row>
    <row r="1609" spans="2:29">
      <c r="B1609" s="31"/>
      <c r="X1609" s="19"/>
      <c r="Y1609" s="19"/>
    </row>
    <row r="1610" spans="2:29">
      <c r="B1610" s="31"/>
      <c r="X1610" s="19"/>
      <c r="Y1610" s="19"/>
    </row>
    <row r="1611" spans="2:29">
      <c r="B1611" s="31"/>
      <c r="X1611" s="19"/>
      <c r="Y1611" s="19"/>
    </row>
    <row r="1612" spans="2:29">
      <c r="B1612" s="31"/>
      <c r="X1612" s="19"/>
      <c r="Y1612" s="19"/>
    </row>
    <row r="1613" spans="2:29">
      <c r="B1613" s="31"/>
      <c r="X1613" s="19"/>
      <c r="Y1613" s="19"/>
    </row>
    <row r="1614" spans="2:29">
      <c r="B1614" s="31"/>
      <c r="X1614" s="19"/>
      <c r="Y1614" s="19"/>
    </row>
    <row r="1615" spans="2:29">
      <c r="B1615" s="31"/>
      <c r="X1615" s="19"/>
      <c r="Y1615" s="19"/>
    </row>
    <row r="1616" spans="2:29">
      <c r="B1616" s="31"/>
      <c r="X1616" s="19"/>
      <c r="Y1616" s="19"/>
    </row>
    <row r="1617" spans="2:25">
      <c r="B1617" s="31"/>
      <c r="X1617" s="19"/>
      <c r="Y1617" s="19"/>
    </row>
    <row r="1618" spans="2:25">
      <c r="B1618" s="31"/>
      <c r="X1618" s="19"/>
      <c r="Y1618" s="19"/>
    </row>
    <row r="1619" spans="2:25">
      <c r="B1619" s="31"/>
      <c r="X1619" s="19"/>
      <c r="Y1619" s="19"/>
    </row>
    <row r="1620" spans="2:25">
      <c r="B1620" s="31"/>
      <c r="X1620" s="19"/>
      <c r="Y1620" s="19"/>
    </row>
    <row r="1621" spans="2:25">
      <c r="B1621" s="31"/>
      <c r="X1621" s="19"/>
      <c r="Y1621" s="19"/>
    </row>
    <row r="1622" spans="2:25">
      <c r="B1622" s="31"/>
      <c r="X1622" s="19"/>
      <c r="Y1622" s="19"/>
    </row>
    <row r="1623" spans="2:25">
      <c r="B1623" s="31"/>
      <c r="X1623" s="19"/>
      <c r="Y1623" s="19"/>
    </row>
    <row r="1624" spans="2:25">
      <c r="B1624" s="31"/>
      <c r="X1624" s="19"/>
      <c r="Y1624" s="19"/>
    </row>
    <row r="1625" spans="2:25">
      <c r="B1625" s="31"/>
      <c r="X1625" s="19"/>
      <c r="Y1625" s="19"/>
    </row>
    <row r="1626" spans="2:25">
      <c r="B1626" s="31"/>
      <c r="X1626" s="19"/>
      <c r="Y1626" s="19"/>
    </row>
    <row r="1627" spans="2:25">
      <c r="B1627" s="31"/>
      <c r="X1627" s="19"/>
      <c r="Y1627" s="19"/>
    </row>
    <row r="1628" spans="2:25">
      <c r="B1628" s="31"/>
      <c r="X1628" s="19"/>
      <c r="Y1628" s="19"/>
    </row>
    <row r="1629" spans="2:25">
      <c r="B1629" s="31"/>
      <c r="X1629" s="19"/>
      <c r="Y1629" s="19"/>
    </row>
    <row r="1630" spans="2:25">
      <c r="B1630" s="31"/>
      <c r="X1630" s="19"/>
      <c r="Y1630" s="19"/>
    </row>
    <row r="1631" spans="2:25">
      <c r="B1631" s="31"/>
      <c r="X1631" s="19"/>
      <c r="Y1631" s="19"/>
    </row>
    <row r="1632" spans="2:25">
      <c r="B1632" s="31"/>
      <c r="X1632" s="19"/>
      <c r="Y1632" s="19"/>
    </row>
    <row r="1633" spans="2:51">
      <c r="B1633" s="31"/>
      <c r="X1633" s="19"/>
      <c r="Y1633" s="19"/>
    </row>
    <row r="1634" spans="2:51">
      <c r="B1634" s="31"/>
      <c r="X1634" s="19"/>
      <c r="Y1634" s="19"/>
    </row>
    <row r="1635" spans="2:51">
      <c r="B1635" s="31"/>
      <c r="X1635" s="19"/>
      <c r="Y1635" s="19"/>
      <c r="AY1635" s="2" t="s">
        <v>1179</v>
      </c>
    </row>
    <row r="1636" spans="2:51">
      <c r="B1636" s="31"/>
      <c r="X1636" s="19"/>
      <c r="Y1636" s="19"/>
    </row>
    <row r="1637" spans="2:51">
      <c r="B1637" s="31"/>
      <c r="X1637" s="19"/>
      <c r="Y1637" s="19"/>
    </row>
    <row r="1638" spans="2:51">
      <c r="B1638" s="31"/>
      <c r="X1638" s="19"/>
      <c r="Y1638" s="19"/>
    </row>
    <row r="1639" spans="2:51">
      <c r="B1639" s="31"/>
      <c r="X1639" s="19"/>
      <c r="Y1639" s="19"/>
    </row>
    <row r="1640" spans="2:51">
      <c r="B1640" s="31"/>
      <c r="X1640" s="19"/>
      <c r="Y1640" s="19"/>
    </row>
    <row r="1641" spans="2:51">
      <c r="B1641" s="31"/>
      <c r="X1641" s="19"/>
      <c r="Y1641" s="19"/>
    </row>
    <row r="1642" spans="2:51">
      <c r="B1642" s="31"/>
      <c r="X1642" s="19"/>
      <c r="Y1642" s="19"/>
    </row>
    <row r="1643" spans="2:51">
      <c r="B1643" s="31"/>
      <c r="X1643" s="19"/>
      <c r="Y1643" s="19"/>
    </row>
    <row r="1644" spans="2:51">
      <c r="B1644" s="31"/>
      <c r="X1644" s="19"/>
      <c r="Y1644" s="19"/>
    </row>
    <row r="1645" spans="2:51">
      <c r="B1645" s="31"/>
      <c r="X1645" s="19"/>
      <c r="Y1645" s="19"/>
    </row>
    <row r="1646" spans="2:51">
      <c r="B1646" s="31"/>
      <c r="X1646" s="19"/>
      <c r="Y1646" s="19"/>
    </row>
    <row r="1647" spans="2:51">
      <c r="B1647" s="31"/>
      <c r="X1647" s="19"/>
      <c r="Y1647" s="19"/>
    </row>
    <row r="1648" spans="2:51">
      <c r="B1648" s="31"/>
      <c r="X1648" s="19"/>
      <c r="Y1648" s="19"/>
    </row>
    <row r="1649" spans="2:25">
      <c r="B1649" s="31"/>
      <c r="X1649" s="19"/>
      <c r="Y1649" s="19"/>
    </row>
    <row r="1650" spans="2:25">
      <c r="B1650" s="31"/>
      <c r="X1650" s="19"/>
      <c r="Y1650" s="19"/>
    </row>
    <row r="1651" spans="2:25">
      <c r="B1651" s="31"/>
      <c r="X1651" s="19"/>
      <c r="Y1651" s="19"/>
    </row>
    <row r="1652" spans="2:25">
      <c r="B1652" s="31"/>
      <c r="X1652" s="19"/>
      <c r="Y1652" s="19"/>
    </row>
    <row r="1653" spans="2:25">
      <c r="B1653" s="31"/>
      <c r="X1653" s="19"/>
      <c r="Y1653" s="19"/>
    </row>
    <row r="1654" spans="2:25">
      <c r="B1654" s="31"/>
      <c r="X1654" s="19"/>
      <c r="Y1654" s="19"/>
    </row>
    <row r="1655" spans="2:25">
      <c r="B1655" s="31"/>
      <c r="X1655" s="19"/>
      <c r="Y1655" s="19"/>
    </row>
    <row r="1656" spans="2:25">
      <c r="B1656" s="31"/>
      <c r="X1656" s="19"/>
      <c r="Y1656" s="19"/>
    </row>
    <row r="1657" spans="2:25">
      <c r="B1657" s="31"/>
      <c r="X1657" s="19"/>
      <c r="Y1657" s="19"/>
    </row>
    <row r="1658" spans="2:25">
      <c r="B1658" s="31"/>
      <c r="X1658" s="19"/>
      <c r="Y1658" s="19"/>
    </row>
    <row r="1659" spans="2:25">
      <c r="B1659" s="31"/>
      <c r="X1659" s="19"/>
      <c r="Y1659" s="19"/>
    </row>
    <row r="1660" spans="2:25">
      <c r="B1660" s="31"/>
      <c r="X1660" s="19"/>
      <c r="Y1660" s="19"/>
    </row>
    <row r="1661" spans="2:25">
      <c r="B1661" s="31"/>
      <c r="X1661" s="19"/>
      <c r="Y1661" s="19"/>
    </row>
    <row r="1662" spans="2:25">
      <c r="B1662" s="31"/>
      <c r="X1662" s="19"/>
      <c r="Y1662" s="19"/>
    </row>
    <row r="1663" spans="2:25">
      <c r="B1663" s="31"/>
      <c r="X1663" s="19"/>
      <c r="Y1663" s="19"/>
    </row>
    <row r="1664" spans="2:25">
      <c r="B1664" s="31"/>
      <c r="X1664" s="19"/>
      <c r="Y1664" s="19"/>
    </row>
    <row r="1665" spans="2:25">
      <c r="B1665" s="31"/>
      <c r="X1665" s="19"/>
      <c r="Y1665" s="19"/>
    </row>
    <row r="1666" spans="2:25">
      <c r="B1666" s="31"/>
      <c r="X1666" s="19"/>
      <c r="Y1666" s="19"/>
    </row>
    <row r="1667" spans="2:25">
      <c r="B1667" s="31"/>
      <c r="X1667" s="19"/>
      <c r="Y1667" s="19"/>
    </row>
    <row r="1668" spans="2:25">
      <c r="B1668" s="31"/>
      <c r="X1668" s="19"/>
      <c r="Y1668" s="19"/>
    </row>
    <row r="1669" spans="2:25">
      <c r="B1669" s="31"/>
      <c r="X1669" s="19"/>
      <c r="Y1669" s="19"/>
    </row>
    <row r="1670" spans="2:25">
      <c r="B1670" s="31"/>
      <c r="X1670" s="19"/>
      <c r="Y1670" s="19"/>
    </row>
    <row r="1671" spans="2:25">
      <c r="B1671" s="31"/>
      <c r="X1671" s="19"/>
      <c r="Y1671" s="19"/>
    </row>
    <row r="1672" spans="2:25">
      <c r="B1672" s="31"/>
      <c r="X1672" s="19"/>
      <c r="Y1672" s="19"/>
    </row>
    <row r="1673" spans="2:25">
      <c r="B1673" s="31"/>
      <c r="X1673" s="19"/>
      <c r="Y1673" s="19"/>
    </row>
    <row r="1674" spans="2:25">
      <c r="B1674" s="31"/>
      <c r="X1674" s="19"/>
      <c r="Y1674" s="19"/>
    </row>
    <row r="1675" spans="2:25">
      <c r="B1675" s="31"/>
      <c r="X1675" s="19"/>
      <c r="Y1675" s="19"/>
    </row>
    <row r="1676" spans="2:25">
      <c r="B1676" s="31"/>
      <c r="X1676" s="19"/>
      <c r="Y1676" s="19"/>
    </row>
    <row r="1677" spans="2:25">
      <c r="B1677" s="31"/>
      <c r="X1677" s="19"/>
      <c r="Y1677" s="19"/>
    </row>
    <row r="1678" spans="2:25">
      <c r="B1678" s="31"/>
      <c r="X1678" s="19"/>
      <c r="Y1678" s="19"/>
    </row>
    <row r="1679" spans="2:25">
      <c r="B1679" s="31"/>
      <c r="X1679" s="19"/>
      <c r="Y1679" s="19"/>
    </row>
    <row r="1680" spans="2:25">
      <c r="B1680" s="31"/>
      <c r="X1680" s="19"/>
      <c r="Y1680" s="19"/>
    </row>
    <row r="1681" spans="2:25">
      <c r="B1681" s="31"/>
      <c r="X1681" s="19"/>
      <c r="Y1681" s="19"/>
    </row>
    <row r="1682" spans="2:25">
      <c r="B1682" s="31"/>
      <c r="X1682" s="19"/>
      <c r="Y1682" s="19"/>
    </row>
    <row r="1683" spans="2:25">
      <c r="B1683" s="31"/>
      <c r="X1683" s="19"/>
      <c r="Y1683" s="19"/>
    </row>
    <row r="1684" spans="2:25">
      <c r="B1684" s="31"/>
      <c r="X1684" s="19"/>
      <c r="Y1684" s="19"/>
    </row>
    <row r="1685" spans="2:25">
      <c r="B1685" s="31"/>
      <c r="X1685" s="19"/>
      <c r="Y1685" s="19"/>
    </row>
    <row r="1686" spans="2:25">
      <c r="B1686" s="31"/>
      <c r="X1686" s="19"/>
      <c r="Y1686" s="19"/>
    </row>
    <row r="1687" spans="2:25">
      <c r="B1687" s="31"/>
      <c r="X1687" s="19"/>
      <c r="Y1687" s="19"/>
    </row>
    <row r="1688" spans="2:25">
      <c r="B1688" s="31"/>
      <c r="X1688" s="19"/>
      <c r="Y1688" s="19"/>
    </row>
    <row r="1689" spans="2:25">
      <c r="B1689" s="31"/>
      <c r="X1689" s="19"/>
      <c r="Y1689" s="19"/>
    </row>
    <row r="1690" spans="2:25">
      <c r="B1690" s="31"/>
      <c r="X1690" s="19"/>
      <c r="Y1690" s="19"/>
    </row>
    <row r="1691" spans="2:25">
      <c r="B1691" s="31"/>
      <c r="X1691" s="19"/>
      <c r="Y1691" s="19"/>
    </row>
    <row r="1692" spans="2:25">
      <c r="B1692" s="31"/>
      <c r="X1692" s="19"/>
      <c r="Y1692" s="19"/>
    </row>
    <row r="1693" spans="2:25">
      <c r="B1693" s="31"/>
      <c r="X1693" s="19"/>
      <c r="Y1693" s="19"/>
    </row>
    <row r="1694" spans="2:25">
      <c r="B1694" s="31"/>
      <c r="X1694" s="19"/>
      <c r="Y1694" s="19"/>
    </row>
    <row r="1695" spans="2:25">
      <c r="B1695" s="31"/>
      <c r="X1695" s="19"/>
      <c r="Y1695" s="19"/>
    </row>
    <row r="1696" spans="2:25">
      <c r="B1696" s="31"/>
      <c r="X1696" s="19"/>
      <c r="Y1696" s="19"/>
    </row>
    <row r="1697" spans="2:25">
      <c r="B1697" s="31"/>
      <c r="X1697" s="19"/>
      <c r="Y1697" s="19"/>
    </row>
    <row r="1698" spans="2:25">
      <c r="B1698" s="31"/>
      <c r="T1698" s="17">
        <v>0</v>
      </c>
      <c r="X1698" s="19"/>
      <c r="Y1698" s="19"/>
    </row>
    <row r="1699" spans="2:25">
      <c r="B1699" s="31"/>
      <c r="X1699" s="19"/>
      <c r="Y1699" s="19"/>
    </row>
    <row r="1700" spans="2:25">
      <c r="B1700" s="31"/>
      <c r="X1700" s="19"/>
      <c r="Y1700" s="19"/>
    </row>
    <row r="1701" spans="2:25">
      <c r="B1701" s="31"/>
      <c r="X1701" s="19"/>
      <c r="Y1701" s="19"/>
    </row>
    <row r="1702" spans="2:25">
      <c r="B1702" s="31"/>
      <c r="X1702" s="19"/>
      <c r="Y1702" s="19"/>
    </row>
    <row r="1703" spans="2:25">
      <c r="B1703" s="31"/>
      <c r="X1703" s="19"/>
      <c r="Y1703" s="19"/>
    </row>
    <row r="1704" spans="2:25">
      <c r="B1704" s="31"/>
      <c r="X1704" s="19"/>
      <c r="Y1704" s="19"/>
    </row>
    <row r="1705" spans="2:25">
      <c r="B1705" s="31"/>
      <c r="X1705" s="19"/>
      <c r="Y1705" s="19"/>
    </row>
    <row r="1706" spans="2:25">
      <c r="B1706" s="31"/>
      <c r="X1706" s="19"/>
      <c r="Y1706" s="19"/>
    </row>
    <row r="1707" spans="2:25">
      <c r="B1707" s="31"/>
      <c r="X1707" s="19"/>
      <c r="Y1707" s="19"/>
    </row>
    <row r="1708" spans="2:25">
      <c r="B1708" s="31"/>
      <c r="X1708" s="19"/>
      <c r="Y1708" s="19"/>
    </row>
    <row r="1709" spans="2:25">
      <c r="B1709" s="31"/>
      <c r="X1709" s="19"/>
      <c r="Y1709" s="19"/>
    </row>
    <row r="1710" spans="2:25">
      <c r="B1710" s="31"/>
      <c r="X1710" s="19"/>
      <c r="Y1710" s="19"/>
    </row>
    <row r="1711" spans="2:25">
      <c r="B1711" s="31"/>
      <c r="X1711" s="19"/>
      <c r="Y1711" s="19"/>
    </row>
    <row r="1712" spans="2:25">
      <c r="B1712" s="31"/>
      <c r="X1712" s="19"/>
      <c r="Y1712" s="19"/>
    </row>
    <row r="1713" spans="2:25">
      <c r="B1713" s="31"/>
      <c r="X1713" s="19"/>
      <c r="Y1713" s="19"/>
    </row>
    <row r="1714" spans="2:25">
      <c r="B1714" s="31"/>
      <c r="X1714" s="19"/>
      <c r="Y1714" s="19"/>
    </row>
    <row r="1715" spans="2:25">
      <c r="B1715" s="31"/>
      <c r="X1715" s="19"/>
      <c r="Y1715" s="19"/>
    </row>
    <row r="1716" spans="2:25">
      <c r="B1716" s="31"/>
      <c r="X1716" s="19"/>
      <c r="Y1716" s="19"/>
    </row>
    <row r="1717" spans="2:25">
      <c r="B1717" s="31"/>
      <c r="X1717" s="19"/>
      <c r="Y1717" s="19"/>
    </row>
    <row r="1718" spans="2:25">
      <c r="B1718" s="31"/>
      <c r="X1718" s="19"/>
      <c r="Y1718" s="19"/>
    </row>
    <row r="1719" spans="2:25">
      <c r="B1719" s="31"/>
      <c r="X1719" s="19"/>
      <c r="Y1719" s="19"/>
    </row>
    <row r="1720" spans="2:25">
      <c r="B1720" s="31"/>
      <c r="X1720" s="19"/>
      <c r="Y1720" s="19"/>
    </row>
    <row r="1721" spans="2:25">
      <c r="B1721" s="31"/>
      <c r="X1721" s="19"/>
      <c r="Y1721" s="19"/>
    </row>
    <row r="1722" spans="2:25">
      <c r="B1722" s="31"/>
      <c r="X1722" s="19"/>
      <c r="Y1722" s="19"/>
    </row>
    <row r="1723" spans="2:25">
      <c r="B1723" s="31"/>
      <c r="X1723" s="19"/>
      <c r="Y1723" s="19"/>
    </row>
    <row r="1724" spans="2:25">
      <c r="B1724" s="31"/>
      <c r="X1724" s="19"/>
      <c r="Y1724" s="19"/>
    </row>
    <row r="1725" spans="2:25">
      <c r="B1725" s="31"/>
      <c r="X1725" s="19"/>
      <c r="Y1725" s="19"/>
    </row>
    <row r="1726" spans="2:25">
      <c r="B1726" s="31"/>
      <c r="X1726" s="19"/>
      <c r="Y1726" s="19"/>
    </row>
    <row r="1727" spans="2:25">
      <c r="B1727" s="31"/>
      <c r="X1727" s="19"/>
      <c r="Y1727" s="19"/>
    </row>
    <row r="1728" spans="2:25">
      <c r="B1728" s="31"/>
      <c r="X1728" s="19"/>
      <c r="Y1728" s="19"/>
    </row>
    <row r="1729" spans="2:25">
      <c r="B1729" s="31"/>
      <c r="X1729" s="19"/>
      <c r="Y1729" s="19"/>
    </row>
    <row r="1730" spans="2:25">
      <c r="B1730" s="31"/>
      <c r="X1730" s="19"/>
      <c r="Y1730" s="19"/>
    </row>
    <row r="1731" spans="2:25">
      <c r="B1731" s="31"/>
      <c r="X1731" s="19"/>
      <c r="Y1731" s="19"/>
    </row>
    <row r="1732" spans="2:25">
      <c r="B1732" s="31"/>
      <c r="X1732" s="19"/>
      <c r="Y1732" s="19"/>
    </row>
    <row r="1733" spans="2:25">
      <c r="B1733" s="31"/>
      <c r="X1733" s="19"/>
      <c r="Y1733" s="19"/>
    </row>
    <row r="1734" spans="2:25">
      <c r="B1734" s="31"/>
      <c r="X1734" s="19"/>
      <c r="Y1734" s="19"/>
    </row>
    <row r="1735" spans="2:25">
      <c r="B1735" s="31"/>
      <c r="X1735" s="19"/>
      <c r="Y1735" s="19"/>
    </row>
    <row r="1736" spans="2:25">
      <c r="B1736" s="31"/>
      <c r="X1736" s="19"/>
      <c r="Y1736" s="19"/>
    </row>
    <row r="1737" spans="2:25">
      <c r="B1737" s="31"/>
      <c r="X1737" s="19"/>
      <c r="Y1737" s="19"/>
    </row>
    <row r="1738" spans="2:25">
      <c r="B1738" s="31"/>
      <c r="X1738" s="19"/>
      <c r="Y1738" s="19"/>
    </row>
    <row r="1739" spans="2:25">
      <c r="B1739" s="31"/>
      <c r="X1739" s="19"/>
      <c r="Y1739" s="19"/>
    </row>
    <row r="1740" spans="2:25">
      <c r="B1740" s="31"/>
      <c r="X1740" s="19"/>
      <c r="Y1740" s="19"/>
    </row>
    <row r="1741" spans="2:25">
      <c r="B1741" s="31"/>
      <c r="X1741" s="19"/>
      <c r="Y1741" s="19"/>
    </row>
    <row r="1742" spans="2:25">
      <c r="B1742" s="31"/>
      <c r="X1742" s="19"/>
      <c r="Y1742" s="19"/>
    </row>
    <row r="1743" spans="2:25">
      <c r="B1743" s="31"/>
      <c r="X1743" s="19"/>
      <c r="Y1743" s="19"/>
    </row>
    <row r="1744" spans="2:25">
      <c r="B1744" s="31"/>
      <c r="X1744" s="19"/>
      <c r="Y1744" s="19"/>
    </row>
    <row r="1745" spans="2:25">
      <c r="B1745" s="31"/>
      <c r="X1745" s="19"/>
      <c r="Y1745" s="19"/>
    </row>
    <row r="1746" spans="2:25">
      <c r="B1746" s="31"/>
      <c r="X1746" s="19"/>
      <c r="Y1746" s="19"/>
    </row>
    <row r="1747" spans="2:25">
      <c r="B1747" s="31"/>
      <c r="X1747" s="19"/>
      <c r="Y1747" s="19"/>
    </row>
    <row r="1748" spans="2:25">
      <c r="B1748" s="31"/>
      <c r="X1748" s="19"/>
      <c r="Y1748" s="19"/>
    </row>
    <row r="1749" spans="2:25">
      <c r="B1749" s="31"/>
      <c r="X1749" s="19"/>
      <c r="Y1749" s="19"/>
    </row>
    <row r="1750" spans="2:25">
      <c r="B1750" s="31"/>
      <c r="X1750" s="19"/>
      <c r="Y1750" s="19"/>
    </row>
    <row r="1751" spans="2:25">
      <c r="B1751" s="31"/>
      <c r="X1751" s="19"/>
      <c r="Y1751" s="19"/>
    </row>
    <row r="1752" spans="2:25">
      <c r="B1752" s="31"/>
      <c r="X1752" s="19"/>
      <c r="Y1752" s="19"/>
    </row>
    <row r="1753" spans="2:25">
      <c r="B1753" s="31"/>
      <c r="X1753" s="19"/>
      <c r="Y1753" s="19"/>
    </row>
    <row r="1754" spans="2:25">
      <c r="B1754" s="31"/>
      <c r="X1754" s="19"/>
      <c r="Y1754" s="19"/>
    </row>
    <row r="1755" spans="2:25">
      <c r="B1755" s="31"/>
      <c r="X1755" s="19"/>
      <c r="Y1755" s="19"/>
    </row>
    <row r="1756" spans="2:25">
      <c r="B1756" s="31"/>
      <c r="X1756" s="19"/>
      <c r="Y1756" s="19"/>
    </row>
    <row r="1757" spans="2:25">
      <c r="B1757" s="31"/>
      <c r="X1757" s="19"/>
      <c r="Y1757" s="19"/>
    </row>
    <row r="1758" spans="2:25">
      <c r="B1758" s="31"/>
      <c r="X1758" s="19"/>
      <c r="Y1758" s="19"/>
    </row>
    <row r="1759" spans="2:25">
      <c r="B1759" s="31"/>
      <c r="X1759" s="19"/>
      <c r="Y1759" s="19"/>
    </row>
    <row r="1760" spans="2:25">
      <c r="B1760" s="31"/>
      <c r="X1760" s="19"/>
      <c r="Y1760" s="19"/>
    </row>
    <row r="1761" spans="2:25">
      <c r="B1761" s="31"/>
      <c r="X1761" s="19"/>
      <c r="Y1761" s="19"/>
    </row>
    <row r="1762" spans="2:25">
      <c r="B1762" s="31"/>
      <c r="X1762" s="19"/>
      <c r="Y1762" s="19"/>
    </row>
    <row r="1763" spans="2:25">
      <c r="B1763" s="31"/>
      <c r="X1763" s="19"/>
      <c r="Y1763" s="19"/>
    </row>
    <row r="1764" spans="2:25">
      <c r="B1764" s="31"/>
      <c r="X1764" s="19"/>
      <c r="Y1764" s="19"/>
    </row>
    <row r="1765" spans="2:25">
      <c r="B1765" s="31"/>
      <c r="X1765" s="19"/>
      <c r="Y1765" s="19"/>
    </row>
    <row r="1766" spans="2:25">
      <c r="B1766" s="31"/>
      <c r="X1766" s="19"/>
      <c r="Y1766" s="19"/>
    </row>
    <row r="1767" spans="2:25">
      <c r="B1767" s="31"/>
      <c r="X1767" s="19"/>
      <c r="Y1767" s="19"/>
    </row>
    <row r="1768" spans="2:25">
      <c r="B1768" s="31"/>
      <c r="X1768" s="19"/>
      <c r="Y1768" s="19"/>
    </row>
    <row r="1769" spans="2:25">
      <c r="B1769" s="31"/>
      <c r="X1769" s="19"/>
      <c r="Y1769" s="19"/>
    </row>
    <row r="1770" spans="2:25">
      <c r="B1770" s="31"/>
      <c r="X1770" s="19"/>
      <c r="Y1770" s="19"/>
    </row>
    <row r="1771" spans="2:25">
      <c r="B1771" s="31"/>
      <c r="X1771" s="19"/>
      <c r="Y1771" s="19"/>
    </row>
    <row r="1772" spans="2:25">
      <c r="B1772" s="31"/>
      <c r="X1772" s="19"/>
      <c r="Y1772" s="19"/>
    </row>
    <row r="1773" spans="2:25">
      <c r="B1773" s="31"/>
      <c r="X1773" s="19"/>
      <c r="Y1773" s="19"/>
    </row>
    <row r="1774" spans="2:25">
      <c r="B1774" s="31"/>
      <c r="X1774" s="19"/>
      <c r="Y1774" s="19"/>
    </row>
    <row r="1775" spans="2:25">
      <c r="B1775" s="31"/>
      <c r="X1775" s="19"/>
      <c r="Y1775" s="19"/>
    </row>
    <row r="1776" spans="2:25">
      <c r="B1776" s="31"/>
      <c r="X1776" s="19"/>
      <c r="Y1776" s="19"/>
    </row>
    <row r="1777" spans="2:25">
      <c r="B1777" s="31"/>
      <c r="X1777" s="19"/>
      <c r="Y1777" s="19"/>
    </row>
    <row r="1778" spans="2:25">
      <c r="B1778" s="31"/>
      <c r="X1778" s="19"/>
      <c r="Y1778" s="19"/>
    </row>
    <row r="1779" spans="2:25">
      <c r="B1779" s="31"/>
      <c r="X1779" s="19"/>
      <c r="Y1779" s="19"/>
    </row>
    <row r="1780" spans="2:25">
      <c r="B1780" s="31"/>
      <c r="X1780" s="19"/>
      <c r="Y1780" s="19"/>
    </row>
    <row r="1781" spans="2:25">
      <c r="B1781" s="31"/>
      <c r="X1781" s="19"/>
      <c r="Y1781" s="19"/>
    </row>
    <row r="1782" spans="2:25">
      <c r="B1782" s="31"/>
      <c r="X1782" s="19"/>
      <c r="Y1782" s="19"/>
    </row>
    <row r="1783" spans="2:25">
      <c r="B1783" s="31"/>
      <c r="X1783" s="19"/>
      <c r="Y1783" s="19"/>
    </row>
    <row r="1784" spans="2:25">
      <c r="B1784" s="31"/>
      <c r="X1784" s="19"/>
      <c r="Y1784" s="19"/>
    </row>
    <row r="1785" spans="2:25">
      <c r="B1785" s="31"/>
      <c r="X1785" s="19"/>
      <c r="Y1785" s="19"/>
    </row>
    <row r="1786" spans="2:25">
      <c r="B1786" s="31"/>
      <c r="X1786" s="19"/>
      <c r="Y1786" s="19"/>
    </row>
    <row r="1787" spans="2:25">
      <c r="B1787" s="31"/>
      <c r="X1787" s="19"/>
      <c r="Y1787" s="19"/>
    </row>
    <row r="1788" spans="2:25">
      <c r="B1788" s="31"/>
      <c r="X1788" s="19"/>
      <c r="Y1788" s="19"/>
    </row>
    <row r="1789" spans="2:25">
      <c r="B1789" s="31"/>
      <c r="X1789" s="19"/>
      <c r="Y1789" s="19"/>
    </row>
    <row r="1790" spans="2:25">
      <c r="B1790" s="31"/>
      <c r="X1790" s="19"/>
      <c r="Y1790" s="19"/>
    </row>
    <row r="1791" spans="2:25">
      <c r="B1791" s="31"/>
      <c r="X1791" s="19"/>
      <c r="Y1791" s="19"/>
    </row>
    <row r="1792" spans="2:25">
      <c r="B1792" s="31"/>
      <c r="X1792" s="19"/>
      <c r="Y1792" s="19"/>
    </row>
    <row r="1793" spans="2:25">
      <c r="B1793" s="31"/>
      <c r="X1793" s="19"/>
      <c r="Y1793" s="19"/>
    </row>
    <row r="1794" spans="2:25">
      <c r="B1794" s="31"/>
      <c r="X1794" s="19"/>
      <c r="Y1794" s="19"/>
    </row>
    <row r="1795" spans="2:25">
      <c r="B1795" s="31"/>
      <c r="X1795" s="19"/>
      <c r="Y1795" s="19"/>
    </row>
    <row r="1796" spans="2:25">
      <c r="B1796" s="31"/>
      <c r="X1796" s="19"/>
      <c r="Y1796" s="19"/>
    </row>
    <row r="1797" spans="2:25">
      <c r="B1797" s="31"/>
      <c r="X1797" s="19"/>
      <c r="Y1797" s="19"/>
    </row>
    <row r="1798" spans="2:25">
      <c r="B1798" s="31"/>
      <c r="X1798" s="19"/>
      <c r="Y1798" s="19"/>
    </row>
    <row r="1799" spans="2:25">
      <c r="B1799" s="31"/>
      <c r="X1799" s="19"/>
      <c r="Y1799" s="19"/>
    </row>
    <row r="1800" spans="2:25">
      <c r="B1800" s="31"/>
      <c r="X1800" s="19"/>
      <c r="Y1800" s="19"/>
    </row>
    <row r="1801" spans="2:25">
      <c r="B1801" s="31"/>
      <c r="X1801" s="19"/>
      <c r="Y1801" s="19"/>
    </row>
    <row r="1802" spans="2:25">
      <c r="B1802" s="31"/>
      <c r="X1802" s="19"/>
      <c r="Y1802" s="19"/>
    </row>
    <row r="1803" spans="2:25">
      <c r="B1803" s="31"/>
      <c r="X1803" s="19"/>
      <c r="Y1803" s="19"/>
    </row>
    <row r="1804" spans="2:25">
      <c r="B1804" s="31"/>
      <c r="X1804" s="19"/>
      <c r="Y1804" s="19"/>
    </row>
    <row r="1805" spans="2:25">
      <c r="B1805" s="31"/>
      <c r="X1805" s="19"/>
      <c r="Y1805" s="19"/>
    </row>
    <row r="1806" spans="2:25">
      <c r="B1806" s="31"/>
      <c r="X1806" s="19"/>
      <c r="Y1806" s="19"/>
    </row>
    <row r="1807" spans="2:25">
      <c r="B1807" s="31"/>
      <c r="X1807" s="19"/>
      <c r="Y1807" s="19"/>
    </row>
    <row r="1808" spans="2:25">
      <c r="B1808" s="31"/>
      <c r="X1808" s="19"/>
      <c r="Y1808" s="19"/>
    </row>
    <row r="1809" spans="2:25">
      <c r="B1809" s="31"/>
      <c r="X1809" s="19"/>
      <c r="Y1809" s="19"/>
    </row>
    <row r="1810" spans="2:25">
      <c r="B1810" s="31"/>
      <c r="X1810" s="19"/>
      <c r="Y1810" s="19"/>
    </row>
    <row r="1811" spans="2:25">
      <c r="B1811" s="31"/>
      <c r="X1811" s="19"/>
      <c r="Y1811" s="19"/>
    </row>
    <row r="1812" spans="2:25">
      <c r="B1812" s="31"/>
      <c r="X1812" s="19"/>
      <c r="Y1812" s="19"/>
    </row>
    <row r="1813" spans="2:25">
      <c r="B1813" s="31"/>
      <c r="X1813" s="19"/>
      <c r="Y1813" s="19"/>
    </row>
    <row r="1814" spans="2:25">
      <c r="B1814" s="31"/>
      <c r="X1814" s="19"/>
      <c r="Y1814" s="19"/>
    </row>
    <row r="1815" spans="2:25">
      <c r="B1815" s="31"/>
      <c r="X1815" s="19"/>
      <c r="Y1815" s="19"/>
    </row>
    <row r="1816" spans="2:25">
      <c r="B1816" s="31"/>
      <c r="X1816" s="19"/>
      <c r="Y1816" s="19"/>
    </row>
    <row r="1817" spans="2:25">
      <c r="B1817" s="31"/>
      <c r="X1817" s="19"/>
      <c r="Y1817" s="19"/>
    </row>
    <row r="1818" spans="2:25">
      <c r="B1818" s="31"/>
      <c r="X1818" s="19"/>
      <c r="Y1818" s="19"/>
    </row>
    <row r="1819" spans="2:25">
      <c r="B1819" s="31"/>
      <c r="X1819" s="19"/>
      <c r="Y1819" s="19"/>
    </row>
    <row r="1820" spans="2:25">
      <c r="B1820" s="31"/>
      <c r="X1820" s="19"/>
      <c r="Y1820" s="19"/>
    </row>
    <row r="1821" spans="2:25">
      <c r="B1821" s="31"/>
      <c r="X1821" s="19"/>
      <c r="Y1821" s="19"/>
    </row>
    <row r="1822" spans="2:25">
      <c r="B1822" s="31"/>
      <c r="X1822" s="19"/>
      <c r="Y1822" s="19"/>
    </row>
    <row r="1823" spans="2:25">
      <c r="B1823" s="31"/>
      <c r="X1823" s="19"/>
      <c r="Y1823" s="19"/>
    </row>
    <row r="1824" spans="2:25">
      <c r="B1824" s="31"/>
      <c r="X1824" s="19"/>
      <c r="Y1824" s="19"/>
    </row>
    <row r="1825" spans="2:25">
      <c r="B1825" s="31"/>
      <c r="X1825" s="19"/>
      <c r="Y1825" s="19"/>
    </row>
    <row r="1826" spans="2:25">
      <c r="B1826" s="31"/>
      <c r="X1826" s="19"/>
      <c r="Y1826" s="19"/>
    </row>
    <row r="1827" spans="2:25">
      <c r="B1827" s="31"/>
      <c r="X1827" s="19"/>
      <c r="Y1827" s="19"/>
    </row>
    <row r="1828" spans="2:25">
      <c r="B1828" s="31"/>
      <c r="X1828" s="19"/>
      <c r="Y1828" s="19"/>
    </row>
    <row r="1829" spans="2:25">
      <c r="B1829" s="31"/>
      <c r="X1829" s="19"/>
      <c r="Y1829" s="19"/>
    </row>
    <row r="1830" spans="2:25">
      <c r="B1830" s="31"/>
      <c r="X1830" s="19"/>
      <c r="Y1830" s="19"/>
    </row>
    <row r="1831" spans="2:25">
      <c r="B1831" s="31"/>
      <c r="X1831" s="19"/>
      <c r="Y1831" s="19"/>
    </row>
    <row r="1832" spans="2:25">
      <c r="B1832" s="31"/>
      <c r="X1832" s="19"/>
      <c r="Y1832" s="19"/>
    </row>
    <row r="1833" spans="2:25">
      <c r="B1833" s="31"/>
      <c r="X1833" s="19"/>
      <c r="Y1833" s="19"/>
    </row>
    <row r="1834" spans="2:25">
      <c r="B1834" s="31"/>
      <c r="X1834" s="19"/>
      <c r="Y1834" s="19"/>
    </row>
    <row r="1835" spans="2:25">
      <c r="B1835" s="31"/>
      <c r="X1835" s="19"/>
      <c r="Y1835" s="19"/>
    </row>
    <row r="1836" spans="2:25">
      <c r="B1836" s="31"/>
      <c r="X1836" s="19"/>
      <c r="Y1836" s="19"/>
    </row>
    <row r="1837" spans="2:25">
      <c r="B1837" s="31"/>
      <c r="X1837" s="19"/>
      <c r="Y1837" s="19"/>
    </row>
    <row r="1838" spans="2:25">
      <c r="B1838" s="31"/>
      <c r="X1838" s="19"/>
      <c r="Y1838" s="19"/>
    </row>
    <row r="1839" spans="2:25">
      <c r="B1839" s="31"/>
      <c r="X1839" s="19"/>
      <c r="Y1839" s="19"/>
    </row>
    <row r="1840" spans="2:25">
      <c r="B1840" s="31"/>
      <c r="X1840" s="19"/>
      <c r="Y1840" s="19"/>
    </row>
    <row r="1841" spans="2:25">
      <c r="B1841" s="31"/>
      <c r="X1841" s="19"/>
      <c r="Y1841" s="19"/>
    </row>
    <row r="1842" spans="2:25">
      <c r="B1842" s="31"/>
      <c r="X1842" s="19"/>
      <c r="Y1842" s="19"/>
    </row>
    <row r="1843" spans="2:25">
      <c r="B1843" s="31"/>
      <c r="X1843" s="19"/>
      <c r="Y1843" s="19"/>
    </row>
    <row r="1844" spans="2:25">
      <c r="B1844" s="31"/>
      <c r="X1844" s="19"/>
      <c r="Y1844" s="19"/>
    </row>
    <row r="1845" spans="2:25">
      <c r="B1845" s="31"/>
      <c r="X1845" s="19"/>
      <c r="Y1845" s="19"/>
    </row>
    <row r="1846" spans="2:25">
      <c r="B1846" s="31"/>
      <c r="X1846" s="19"/>
      <c r="Y1846" s="19"/>
    </row>
    <row r="1847" spans="2:25">
      <c r="B1847" s="31"/>
      <c r="X1847" s="19"/>
      <c r="Y1847" s="19"/>
    </row>
    <row r="1848" spans="2:25">
      <c r="B1848" s="31"/>
      <c r="X1848" s="19"/>
      <c r="Y1848" s="19"/>
    </row>
    <row r="1849" spans="2:25">
      <c r="B1849" s="31"/>
      <c r="X1849" s="19"/>
      <c r="Y1849" s="19"/>
    </row>
    <row r="1850" spans="2:25">
      <c r="B1850" s="31"/>
      <c r="X1850" s="19"/>
      <c r="Y1850" s="19"/>
    </row>
    <row r="1851" spans="2:25">
      <c r="B1851" s="31"/>
      <c r="X1851" s="19"/>
      <c r="Y1851" s="19"/>
    </row>
    <row r="1852" spans="2:25">
      <c r="B1852" s="31"/>
      <c r="X1852" s="19"/>
      <c r="Y1852" s="19"/>
    </row>
    <row r="1853" spans="2:25">
      <c r="B1853" s="31"/>
      <c r="X1853" s="19"/>
      <c r="Y1853" s="19"/>
    </row>
    <row r="1854" spans="2:25">
      <c r="B1854" s="31"/>
      <c r="X1854" s="19"/>
      <c r="Y1854" s="19"/>
    </row>
    <row r="1855" spans="2:25">
      <c r="B1855" s="31"/>
      <c r="X1855" s="19"/>
      <c r="Y1855" s="19"/>
    </row>
    <row r="1856" spans="2:25">
      <c r="B1856" s="31"/>
      <c r="X1856" s="19"/>
      <c r="Y1856" s="19"/>
    </row>
    <row r="1857" spans="2:25">
      <c r="B1857" s="31"/>
      <c r="X1857" s="19"/>
      <c r="Y1857" s="19"/>
    </row>
    <row r="1858" spans="2:25">
      <c r="B1858" s="31"/>
      <c r="X1858" s="19"/>
      <c r="Y1858" s="19"/>
    </row>
    <row r="1859" spans="2:25">
      <c r="B1859" s="31"/>
      <c r="X1859" s="19"/>
      <c r="Y1859" s="19"/>
    </row>
    <row r="1860" spans="2:25">
      <c r="B1860" s="31"/>
      <c r="X1860" s="19"/>
      <c r="Y1860" s="19"/>
    </row>
    <row r="1861" spans="2:25">
      <c r="B1861" s="31"/>
      <c r="X1861" s="19"/>
      <c r="Y1861" s="19"/>
    </row>
    <row r="1862" spans="2:25">
      <c r="B1862" s="31"/>
      <c r="X1862" s="19"/>
      <c r="Y1862" s="19"/>
    </row>
    <row r="1863" spans="2:25">
      <c r="B1863" s="31"/>
      <c r="X1863" s="19"/>
      <c r="Y1863" s="19"/>
    </row>
    <row r="1864" spans="2:25">
      <c r="B1864" s="31"/>
      <c r="X1864" s="19"/>
      <c r="Y1864" s="19"/>
    </row>
    <row r="1865" spans="2:25">
      <c r="B1865" s="31"/>
      <c r="X1865" s="19"/>
      <c r="Y1865" s="19"/>
    </row>
    <row r="1866" spans="2:25">
      <c r="B1866" s="31"/>
    </row>
    <row r="1867" spans="2:25">
      <c r="B1867" s="31"/>
    </row>
    <row r="1868" spans="2:25">
      <c r="B1868" s="31"/>
    </row>
    <row r="1869" spans="2:25">
      <c r="B1869" s="31"/>
    </row>
    <row r="1870" spans="2:25">
      <c r="B1870" s="31"/>
    </row>
    <row r="1871" spans="2:25">
      <c r="B1871" s="31"/>
    </row>
    <row r="1872" spans="2:25">
      <c r="B1872" s="31"/>
    </row>
    <row r="1873" spans="2:2">
      <c r="B1873" s="31"/>
    </row>
    <row r="1874" spans="2:2">
      <c r="B1874" s="31"/>
    </row>
    <row r="1875" spans="2:2">
      <c r="B1875" s="31"/>
    </row>
    <row r="1876" spans="2:2">
      <c r="B1876" s="31"/>
    </row>
    <row r="1877" spans="2:2">
      <c r="B1877" s="31"/>
    </row>
    <row r="1878" spans="2:2">
      <c r="B1878" s="31"/>
    </row>
    <row r="1879" spans="2:2">
      <c r="B1879" s="31"/>
    </row>
    <row r="1880" spans="2:2">
      <c r="B1880" s="31"/>
    </row>
    <row r="1881" spans="2:2">
      <c r="B1881" s="31"/>
    </row>
    <row r="1882" spans="2:2">
      <c r="B1882" s="31"/>
    </row>
    <row r="1883" spans="2:2">
      <c r="B1883" s="31"/>
    </row>
    <row r="1884" spans="2:2">
      <c r="B1884" s="31"/>
    </row>
    <row r="1885" spans="2:2">
      <c r="B1885" s="31"/>
    </row>
    <row r="1886" spans="2:2">
      <c r="B1886" s="31"/>
    </row>
    <row r="1887" spans="2:2">
      <c r="B1887" s="31"/>
    </row>
    <row r="1888" spans="2:2">
      <c r="B1888" s="31"/>
    </row>
    <row r="1889" spans="2:2">
      <c r="B1889" s="31"/>
    </row>
    <row r="1890" spans="2:2">
      <c r="B1890" s="31"/>
    </row>
    <row r="1891" spans="2:2">
      <c r="B1891" s="31"/>
    </row>
    <row r="1892" spans="2:2">
      <c r="B1892" s="31"/>
    </row>
    <row r="1893" spans="2:2">
      <c r="B1893" s="31"/>
    </row>
    <row r="1894" spans="2:2">
      <c r="B1894" s="31"/>
    </row>
    <row r="1895" spans="2:2">
      <c r="B1895" s="31"/>
    </row>
    <row r="1896" spans="2:2">
      <c r="B1896" s="31"/>
    </row>
    <row r="1897" spans="2:2">
      <c r="B1897" s="31"/>
    </row>
    <row r="1898" spans="2:2">
      <c r="B1898" s="31"/>
    </row>
    <row r="1899" spans="2:2">
      <c r="B1899" s="31"/>
    </row>
    <row r="1900" spans="2:2">
      <c r="B1900" s="31"/>
    </row>
    <row r="1901" spans="2:2">
      <c r="B1901" s="31"/>
    </row>
    <row r="1902" spans="2:2">
      <c r="B1902" s="31"/>
    </row>
    <row r="1903" spans="2:2">
      <c r="B1903" s="31"/>
    </row>
    <row r="1904" spans="2:2">
      <c r="B1904" s="31"/>
    </row>
    <row r="1905" spans="2:2">
      <c r="B1905" s="31"/>
    </row>
    <row r="1906" spans="2:2">
      <c r="B1906" s="31"/>
    </row>
    <row r="1907" spans="2:2">
      <c r="B1907" s="31"/>
    </row>
    <row r="1908" spans="2:2">
      <c r="B1908" s="31"/>
    </row>
    <row r="1909" spans="2:2">
      <c r="B1909" s="31"/>
    </row>
    <row r="1910" spans="2:2">
      <c r="B1910" s="31"/>
    </row>
    <row r="1911" spans="2:2">
      <c r="B1911" s="31"/>
    </row>
    <row r="1912" spans="2:2">
      <c r="B1912" s="31"/>
    </row>
    <row r="1913" spans="2:2">
      <c r="B1913" s="31"/>
    </row>
    <row r="1914" spans="2:2">
      <c r="B1914" s="31"/>
    </row>
    <row r="1915" spans="2:2">
      <c r="B1915" s="31"/>
    </row>
    <row r="1916" spans="2:2">
      <c r="B1916" s="31"/>
    </row>
    <row r="1917" spans="2:2">
      <c r="B1917" s="31"/>
    </row>
    <row r="1918" spans="2:2">
      <c r="B1918" s="31"/>
    </row>
    <row r="1919" spans="2:2">
      <c r="B1919" s="31"/>
    </row>
    <row r="1920" spans="2:2">
      <c r="B1920" s="31"/>
    </row>
    <row r="1921" spans="2:2">
      <c r="B1921" s="31"/>
    </row>
    <row r="1922" spans="2:2">
      <c r="B1922" s="31"/>
    </row>
    <row r="1923" spans="2:2">
      <c r="B1923" s="31"/>
    </row>
    <row r="1924" spans="2:2">
      <c r="B1924" s="31"/>
    </row>
    <row r="1925" spans="2:2">
      <c r="B1925" s="31"/>
    </row>
    <row r="1926" spans="2:2">
      <c r="B1926" s="31"/>
    </row>
    <row r="1927" spans="2:2">
      <c r="B1927" s="31"/>
    </row>
    <row r="1928" spans="2:2">
      <c r="B1928" s="31"/>
    </row>
    <row r="1929" spans="2:2">
      <c r="B1929" s="31"/>
    </row>
    <row r="1930" spans="2:2">
      <c r="B1930" s="31"/>
    </row>
    <row r="1931" spans="2:2">
      <c r="B1931" s="31"/>
    </row>
    <row r="1932" spans="2:2">
      <c r="B1932" s="31"/>
    </row>
    <row r="1933" spans="2:2">
      <c r="B1933" s="31"/>
    </row>
    <row r="1934" spans="2:2">
      <c r="B1934" s="31"/>
    </row>
    <row r="1935" spans="2:2">
      <c r="B1935" s="31"/>
    </row>
    <row r="1936" spans="2:2">
      <c r="B1936" s="31"/>
    </row>
    <row r="1937" spans="2:2">
      <c r="B1937" s="31"/>
    </row>
    <row r="1938" spans="2:2">
      <c r="B1938" s="31"/>
    </row>
    <row r="1939" spans="2:2">
      <c r="B1939" s="31"/>
    </row>
    <row r="1940" spans="2:2">
      <c r="B1940" s="31"/>
    </row>
    <row r="1941" spans="2:2">
      <c r="B1941" s="31"/>
    </row>
    <row r="1942" spans="2:2">
      <c r="B1942" s="31"/>
    </row>
    <row r="1943" spans="2:2">
      <c r="B1943" s="31"/>
    </row>
    <row r="1944" spans="2:2">
      <c r="B1944" s="31"/>
    </row>
    <row r="1945" spans="2:2">
      <c r="B1945" s="31"/>
    </row>
    <row r="1946" spans="2:2">
      <c r="B1946" s="31"/>
    </row>
    <row r="1947" spans="2:2">
      <c r="B1947" s="31"/>
    </row>
    <row r="1948" spans="2:2">
      <c r="B1948" s="31"/>
    </row>
    <row r="1949" spans="2:2">
      <c r="B1949" s="31"/>
    </row>
    <row r="1950" spans="2:2">
      <c r="B1950" s="31"/>
    </row>
    <row r="1951" spans="2:2">
      <c r="B1951" s="31"/>
    </row>
    <row r="1952" spans="2:2">
      <c r="B1952" s="31"/>
    </row>
    <row r="1953" spans="2:2">
      <c r="B1953" s="31"/>
    </row>
    <row r="1954" spans="2:2">
      <c r="B1954" s="31"/>
    </row>
    <row r="1955" spans="2:2">
      <c r="B1955" s="31"/>
    </row>
    <row r="1956" spans="2:2">
      <c r="B1956" s="31"/>
    </row>
    <row r="1957" spans="2:2">
      <c r="B1957" s="31"/>
    </row>
    <row r="1958" spans="2:2">
      <c r="B1958" s="31"/>
    </row>
    <row r="1959" spans="2:2">
      <c r="B1959" s="31"/>
    </row>
    <row r="1960" spans="2:2">
      <c r="B1960" s="31"/>
    </row>
    <row r="1961" spans="2:2">
      <c r="B1961" s="31"/>
    </row>
    <row r="1962" spans="2:2">
      <c r="B1962" s="31"/>
    </row>
    <row r="1963" spans="2:2">
      <c r="B1963" s="31"/>
    </row>
    <row r="1964" spans="2:2">
      <c r="B1964" s="31"/>
    </row>
    <row r="1965" spans="2:2">
      <c r="B1965" s="31"/>
    </row>
    <row r="1966" spans="2:2">
      <c r="B1966" s="31"/>
    </row>
    <row r="1967" spans="2:2">
      <c r="B1967" s="31"/>
    </row>
    <row r="1968" spans="2:2">
      <c r="B1968" s="31"/>
    </row>
    <row r="1969" spans="2:2">
      <c r="B1969" s="31"/>
    </row>
    <row r="1970" spans="2:2">
      <c r="B1970" s="31"/>
    </row>
    <row r="1971" spans="2:2">
      <c r="B1971" s="31"/>
    </row>
    <row r="1972" spans="2:2">
      <c r="B1972" s="31"/>
    </row>
    <row r="1973" spans="2:2">
      <c r="B1973" s="31"/>
    </row>
    <row r="1974" spans="2:2">
      <c r="B1974" s="31"/>
    </row>
    <row r="1975" spans="2:2">
      <c r="B1975" s="31"/>
    </row>
    <row r="1976" spans="2:2">
      <c r="B1976" s="31"/>
    </row>
    <row r="1977" spans="2:2">
      <c r="B1977" s="31"/>
    </row>
    <row r="1978" spans="2:2">
      <c r="B1978" s="31"/>
    </row>
    <row r="1979" spans="2:2">
      <c r="B1979" s="31"/>
    </row>
    <row r="1980" spans="2:2">
      <c r="B1980" s="31"/>
    </row>
    <row r="1981" spans="2:2">
      <c r="B1981" s="31"/>
    </row>
    <row r="1982" spans="2:2">
      <c r="B1982" s="31"/>
    </row>
    <row r="1983" spans="2:2">
      <c r="B1983" s="31"/>
    </row>
    <row r="1984" spans="2:2">
      <c r="B1984" s="31"/>
    </row>
    <row r="1985" spans="2:2">
      <c r="B1985" s="31"/>
    </row>
    <row r="1986" spans="2:2">
      <c r="B1986" s="31"/>
    </row>
    <row r="1987" spans="2:2">
      <c r="B1987" s="31"/>
    </row>
    <row r="1988" spans="2:2">
      <c r="B1988" s="31"/>
    </row>
    <row r="1989" spans="2:2">
      <c r="B1989" s="31"/>
    </row>
    <row r="1990" spans="2:2">
      <c r="B1990" s="31"/>
    </row>
    <row r="1991" spans="2:2">
      <c r="B1991" s="31"/>
    </row>
    <row r="1992" spans="2:2">
      <c r="B1992" s="31"/>
    </row>
    <row r="1993" spans="2:2">
      <c r="B1993" s="31"/>
    </row>
    <row r="1994" spans="2:2">
      <c r="B1994" s="31"/>
    </row>
    <row r="1995" spans="2:2">
      <c r="B1995" s="31"/>
    </row>
    <row r="1996" spans="2:2">
      <c r="B1996" s="31"/>
    </row>
    <row r="1997" spans="2:2">
      <c r="B1997" s="31"/>
    </row>
    <row r="1998" spans="2:2">
      <c r="B1998" s="31"/>
    </row>
    <row r="1999" spans="2:2">
      <c r="B1999" s="31"/>
    </row>
    <row r="2000" spans="2:2">
      <c r="B2000" s="31"/>
    </row>
    <row r="2001" spans="2:2">
      <c r="B2001" s="31"/>
    </row>
    <row r="2002" spans="2:2">
      <c r="B2002" s="31"/>
    </row>
    <row r="2003" spans="2:2">
      <c r="B2003" s="31"/>
    </row>
    <row r="2004" spans="2:2">
      <c r="B2004" s="31"/>
    </row>
    <row r="2005" spans="2:2">
      <c r="B2005" s="31"/>
    </row>
    <row r="2006" spans="2:2">
      <c r="B2006" s="31"/>
    </row>
    <row r="2007" spans="2:2">
      <c r="B2007" s="31"/>
    </row>
    <row r="2008" spans="2:2">
      <c r="B2008" s="31"/>
    </row>
    <row r="2009" spans="2:2">
      <c r="B2009" s="31"/>
    </row>
    <row r="2010" spans="2:2">
      <c r="B2010" s="31"/>
    </row>
    <row r="2011" spans="2:2">
      <c r="B2011" s="31"/>
    </row>
    <row r="2012" spans="2:2">
      <c r="B2012" s="31"/>
    </row>
    <row r="2013" spans="2:2">
      <c r="B2013" s="31"/>
    </row>
    <row r="2014" spans="2:2">
      <c r="B2014" s="31"/>
    </row>
    <row r="2015" spans="2:2">
      <c r="B2015" s="31"/>
    </row>
    <row r="2016" spans="2:2">
      <c r="B2016" s="31"/>
    </row>
    <row r="2017" spans="2:2">
      <c r="B2017" s="31"/>
    </row>
    <row r="2018" spans="2:2">
      <c r="B2018" s="31"/>
    </row>
    <row r="2019" spans="2:2">
      <c r="B2019" s="31"/>
    </row>
    <row r="2020" spans="2:2">
      <c r="B2020" s="31"/>
    </row>
    <row r="2021" spans="2:2">
      <c r="B2021" s="31"/>
    </row>
    <row r="2022" spans="2:2">
      <c r="B2022" s="31"/>
    </row>
    <row r="2023" spans="2:2">
      <c r="B2023" s="31"/>
    </row>
    <row r="2024" spans="2:2">
      <c r="B2024" s="31"/>
    </row>
    <row r="2025" spans="2:2">
      <c r="B2025" s="31"/>
    </row>
    <row r="2026" spans="2:2">
      <c r="B2026" s="31"/>
    </row>
    <row r="2027" spans="2:2">
      <c r="B2027" s="31"/>
    </row>
    <row r="2028" spans="2:2">
      <c r="B2028" s="31"/>
    </row>
    <row r="2029" spans="2:2">
      <c r="B2029" s="31"/>
    </row>
    <row r="2030" spans="2:2">
      <c r="B2030" s="31"/>
    </row>
    <row r="2031" spans="2:2">
      <c r="B2031" s="31"/>
    </row>
    <row r="2032" spans="2:2">
      <c r="B2032" s="31"/>
    </row>
    <row r="2033" spans="2:2">
      <c r="B2033" s="31"/>
    </row>
    <row r="2034" spans="2:2">
      <c r="B2034" s="31"/>
    </row>
    <row r="2035" spans="2:2">
      <c r="B2035" s="31"/>
    </row>
    <row r="2036" spans="2:2">
      <c r="B2036" s="31"/>
    </row>
    <row r="2037" spans="2:2">
      <c r="B2037" s="31"/>
    </row>
    <row r="2038" spans="2:2">
      <c r="B2038" s="31"/>
    </row>
    <row r="2039" spans="2:2">
      <c r="B2039" s="31"/>
    </row>
    <row r="2040" spans="2:2">
      <c r="B2040" s="31"/>
    </row>
    <row r="2041" spans="2:2">
      <c r="B2041" s="31"/>
    </row>
    <row r="2042" spans="2:2">
      <c r="B2042" s="31"/>
    </row>
    <row r="2043" spans="2:2">
      <c r="B2043" s="31"/>
    </row>
    <row r="2044" spans="2:2">
      <c r="B2044" s="31"/>
    </row>
    <row r="2045" spans="2:2">
      <c r="B2045" s="31"/>
    </row>
    <row r="2046" spans="2:2">
      <c r="B2046" s="31"/>
    </row>
    <row r="2047" spans="2:2">
      <c r="B2047" s="31"/>
    </row>
    <row r="2048" spans="2:2">
      <c r="B2048" s="31"/>
    </row>
    <row r="2049" spans="2:37">
      <c r="B2049" s="31"/>
    </row>
    <row r="2050" spans="2:37">
      <c r="B2050" s="31"/>
    </row>
    <row r="2051" spans="2:37">
      <c r="B2051" s="31"/>
    </row>
    <row r="2052" spans="2:37">
      <c r="B2052" s="31"/>
    </row>
    <row r="2053" spans="2:37">
      <c r="B2053" s="31"/>
    </row>
    <row r="2054" spans="2:37">
      <c r="B2054" s="31"/>
    </row>
    <row r="2055" spans="2:37">
      <c r="B2055" s="31"/>
    </row>
    <row r="2056" spans="2:37">
      <c r="B2056" s="31"/>
    </row>
    <row r="2057" spans="2:37">
      <c r="B2057" s="31"/>
    </row>
    <row r="2058" spans="2:37">
      <c r="B2058" s="31"/>
    </row>
    <row r="2059" spans="2:37">
      <c r="B2059" s="31"/>
    </row>
    <row r="2060" spans="2:37">
      <c r="B2060" s="31"/>
    </row>
    <row r="2061" spans="2:37">
      <c r="B2061" s="31"/>
    </row>
    <row r="2062" spans="2:37">
      <c r="B2062" s="31"/>
    </row>
    <row r="2063" spans="2:37">
      <c r="B2063" s="31"/>
    </row>
    <row r="2064" spans="2:37">
      <c r="B2064" s="31"/>
      <c r="AK2064" s="122">
        <v>0</v>
      </c>
    </row>
    <row r="2065" spans="2:2">
      <c r="B2065" s="31"/>
    </row>
    <row r="2066" spans="2:2">
      <c r="B2066" s="31"/>
    </row>
    <row r="2067" spans="2:2">
      <c r="B2067" s="31"/>
    </row>
    <row r="2068" spans="2:2">
      <c r="B2068" s="31"/>
    </row>
    <row r="2069" spans="2:2">
      <c r="B2069" s="31"/>
    </row>
    <row r="2070" spans="2:2">
      <c r="B2070" s="31"/>
    </row>
    <row r="2071" spans="2:2">
      <c r="B2071" s="31"/>
    </row>
    <row r="2072" spans="2:2">
      <c r="B2072" s="31"/>
    </row>
    <row r="2073" spans="2:2">
      <c r="B2073" s="31"/>
    </row>
    <row r="2074" spans="2:2">
      <c r="B2074" s="31"/>
    </row>
    <row r="2075" spans="2:2">
      <c r="B2075" s="31"/>
    </row>
    <row r="2076" spans="2:2">
      <c r="B2076" s="31"/>
    </row>
    <row r="2077" spans="2:2">
      <c r="B2077" s="31"/>
    </row>
    <row r="2078" spans="2:2">
      <c r="B2078" s="31"/>
    </row>
    <row r="2079" spans="2:2">
      <c r="B2079" s="31"/>
    </row>
    <row r="2080" spans="2:2">
      <c r="B2080" s="31"/>
    </row>
    <row r="2081" spans="2:2">
      <c r="B2081" s="31"/>
    </row>
    <row r="2082" spans="2:2">
      <c r="B2082" s="31"/>
    </row>
    <row r="2083" spans="2:2">
      <c r="B2083" s="31"/>
    </row>
    <row r="2084" spans="2:2">
      <c r="B2084" s="31"/>
    </row>
    <row r="2085" spans="2:2">
      <c r="B2085" s="31"/>
    </row>
    <row r="2086" spans="2:2">
      <c r="B2086" s="31"/>
    </row>
    <row r="2087" spans="2:2">
      <c r="B2087" s="31"/>
    </row>
    <row r="2088" spans="2:2">
      <c r="B2088" s="31"/>
    </row>
    <row r="2089" spans="2:2">
      <c r="B2089" s="31"/>
    </row>
    <row r="2090" spans="2:2">
      <c r="B2090" s="31"/>
    </row>
    <row r="2091" spans="2:2">
      <c r="B2091" s="31"/>
    </row>
    <row r="2092" spans="2:2">
      <c r="B2092" s="31"/>
    </row>
    <row r="2093" spans="2:2">
      <c r="B2093" s="31"/>
    </row>
    <row r="2094" spans="2:2">
      <c r="B2094" s="31"/>
    </row>
    <row r="2095" spans="2:2">
      <c r="B2095" s="31"/>
    </row>
    <row r="2096" spans="2:2">
      <c r="B2096" s="31"/>
    </row>
    <row r="2097" spans="2:2">
      <c r="B2097" s="31"/>
    </row>
    <row r="2098" spans="2:2">
      <c r="B2098" s="31"/>
    </row>
    <row r="2099" spans="2:2">
      <c r="B2099" s="31"/>
    </row>
    <row r="2100" spans="2:2">
      <c r="B2100" s="31"/>
    </row>
    <row r="2101" spans="2:2">
      <c r="B2101" s="31"/>
    </row>
    <row r="2102" spans="2:2">
      <c r="B2102" s="31"/>
    </row>
    <row r="2103" spans="2:2">
      <c r="B2103" s="31"/>
    </row>
    <row r="2104" spans="2:2">
      <c r="B2104" s="31"/>
    </row>
    <row r="2105" spans="2:2">
      <c r="B2105" s="31"/>
    </row>
    <row r="2106" spans="2:2">
      <c r="B2106" s="31"/>
    </row>
    <row r="2107" spans="2:2">
      <c r="B2107" s="31"/>
    </row>
    <row r="2108" spans="2:2">
      <c r="B2108" s="31"/>
    </row>
    <row r="2109" spans="2:2">
      <c r="B2109" s="31"/>
    </row>
    <row r="2110" spans="2:2">
      <c r="B2110" s="31"/>
    </row>
    <row r="2111" spans="2:2">
      <c r="B2111" s="31"/>
    </row>
    <row r="2112" spans="2:2">
      <c r="B2112" s="31"/>
    </row>
    <row r="2113" spans="2:2">
      <c r="B2113" s="31"/>
    </row>
    <row r="2114" spans="2:2">
      <c r="B2114" s="31"/>
    </row>
    <row r="2115" spans="2:2">
      <c r="B2115" s="31"/>
    </row>
    <row r="2116" spans="2:2">
      <c r="B2116" s="31"/>
    </row>
    <row r="2117" spans="2:2">
      <c r="B2117" s="31"/>
    </row>
    <row r="2118" spans="2:2">
      <c r="B2118" s="31"/>
    </row>
    <row r="2119" spans="2:2">
      <c r="B2119" s="31"/>
    </row>
    <row r="2120" spans="2:2">
      <c r="B2120" s="31"/>
    </row>
    <row r="2121" spans="2:2">
      <c r="B2121" s="31"/>
    </row>
    <row r="2122" spans="2:2">
      <c r="B2122" s="31"/>
    </row>
    <row r="2123" spans="2:2">
      <c r="B2123" s="31"/>
    </row>
    <row r="2124" spans="2:2">
      <c r="B2124" s="31"/>
    </row>
    <row r="2125" spans="2:2">
      <c r="B2125" s="31"/>
    </row>
    <row r="2126" spans="2:2">
      <c r="B2126" s="31"/>
    </row>
    <row r="2127" spans="2:2">
      <c r="B2127" s="31"/>
    </row>
    <row r="2128" spans="2:2">
      <c r="B2128" s="31"/>
    </row>
    <row r="2129" spans="2:2">
      <c r="B2129" s="31"/>
    </row>
    <row r="2130" spans="2:2">
      <c r="B2130" s="31"/>
    </row>
    <row r="2131" spans="2:2">
      <c r="B2131" s="31"/>
    </row>
    <row r="2132" spans="2:2">
      <c r="B2132" s="31"/>
    </row>
    <row r="2133" spans="2:2">
      <c r="B2133" s="31"/>
    </row>
    <row r="2134" spans="2:2">
      <c r="B2134" s="31"/>
    </row>
    <row r="2135" spans="2:2">
      <c r="B2135" s="31"/>
    </row>
    <row r="2136" spans="2:2">
      <c r="B2136" s="31"/>
    </row>
    <row r="2137" spans="2:2">
      <c r="B2137" s="31"/>
    </row>
    <row r="2138" spans="2:2">
      <c r="B2138" s="31"/>
    </row>
    <row r="2139" spans="2:2">
      <c r="B2139" s="31"/>
    </row>
    <row r="2140" spans="2:2">
      <c r="B2140" s="31"/>
    </row>
    <row r="2141" spans="2:2">
      <c r="B2141" s="31"/>
    </row>
    <row r="2142" spans="2:2">
      <c r="B2142" s="31"/>
    </row>
    <row r="2143" spans="2:2">
      <c r="B2143" s="31"/>
    </row>
    <row r="2144" spans="2:2">
      <c r="B2144" s="31"/>
    </row>
    <row r="2145" spans="2:23">
      <c r="B2145" s="31"/>
    </row>
    <row r="2146" spans="2:23">
      <c r="B2146" s="31"/>
    </row>
    <row r="2147" spans="2:23">
      <c r="B2147" s="31"/>
    </row>
    <row r="2148" spans="2:23">
      <c r="B2148" s="31"/>
    </row>
    <row r="2149" spans="2:23">
      <c r="B2149" s="31"/>
    </row>
    <row r="2150" spans="2:23">
      <c r="B2150" s="31"/>
    </row>
    <row r="2151" spans="2:23">
      <c r="B2151" s="31"/>
    </row>
    <row r="2152" spans="2:23">
      <c r="B2152" s="31"/>
    </row>
    <row r="2153" spans="2:23">
      <c r="B2153" s="31"/>
    </row>
    <row r="2154" spans="2:23">
      <c r="B2154" s="31"/>
    </row>
    <row r="2155" spans="2:23">
      <c r="B2155" s="31"/>
    </row>
    <row r="2156" spans="2:23">
      <c r="B2156" s="31"/>
    </row>
    <row r="2157" spans="2:23">
      <c r="B2157" s="31"/>
    </row>
    <row r="2158" spans="2:23">
      <c r="B2158" s="31"/>
    </row>
    <row r="2159" spans="2:23">
      <c r="B2159" s="31"/>
      <c r="W2159" s="2" t="s">
        <v>1943</v>
      </c>
    </row>
    <row r="2160" spans="2:23">
      <c r="B2160" s="31"/>
      <c r="W2160" s="2" t="s">
        <v>1943</v>
      </c>
    </row>
    <row r="2161" spans="2:2">
      <c r="B2161" s="31"/>
    </row>
    <row r="2162" spans="2:2">
      <c r="B2162" s="31"/>
    </row>
    <row r="2163" spans="2:2">
      <c r="B2163" s="31"/>
    </row>
    <row r="2164" spans="2:2">
      <c r="B2164" s="31"/>
    </row>
    <row r="2165" spans="2:2">
      <c r="B2165" s="31"/>
    </row>
    <row r="2166" spans="2:2">
      <c r="B2166" s="31"/>
    </row>
    <row r="2167" spans="2:2">
      <c r="B2167" s="31"/>
    </row>
    <row r="2168" spans="2:2">
      <c r="B2168" s="31"/>
    </row>
    <row r="2169" spans="2:2">
      <c r="B2169" s="31"/>
    </row>
    <row r="2170" spans="2:2">
      <c r="B2170" s="31"/>
    </row>
    <row r="2171" spans="2:2">
      <c r="B2171" s="31"/>
    </row>
    <row r="2172" spans="2:2">
      <c r="B2172" s="31"/>
    </row>
    <row r="2173" spans="2:2">
      <c r="B2173" s="31"/>
    </row>
    <row r="2174" spans="2:2">
      <c r="B2174" s="31"/>
    </row>
    <row r="2175" spans="2:2">
      <c r="B2175" s="31"/>
    </row>
    <row r="2176" spans="2:2">
      <c r="B2176" s="31"/>
    </row>
    <row r="2177" spans="2:21">
      <c r="B2177" s="31"/>
    </row>
    <row r="2178" spans="2:21">
      <c r="B2178" s="31"/>
    </row>
    <row r="2179" spans="2:21">
      <c r="B2179" s="31"/>
    </row>
    <row r="2180" spans="2:21">
      <c r="B2180" s="31"/>
    </row>
    <row r="2181" spans="2:21">
      <c r="B2181" s="31"/>
      <c r="U2181" s="153" t="s">
        <v>1943</v>
      </c>
    </row>
    <row r="2182" spans="2:21">
      <c r="B2182" s="31"/>
    </row>
    <row r="2183" spans="2:21">
      <c r="B2183" s="31"/>
    </row>
    <row r="2184" spans="2:21">
      <c r="B2184" s="31"/>
    </row>
    <row r="2185" spans="2:21">
      <c r="B2185" s="31"/>
    </row>
    <row r="2186" spans="2:21">
      <c r="B2186" s="31"/>
    </row>
    <row r="2187" spans="2:21">
      <c r="B2187" s="31"/>
    </row>
    <row r="2188" spans="2:21">
      <c r="B2188" s="31"/>
    </row>
    <row r="2189" spans="2:21">
      <c r="B2189" s="31"/>
    </row>
    <row r="2190" spans="2:21">
      <c r="B2190" s="31"/>
    </row>
    <row r="2191" spans="2:21">
      <c r="B2191" s="31"/>
    </row>
    <row r="2192" spans="2:21">
      <c r="B2192" s="31"/>
    </row>
    <row r="2193" spans="2:2">
      <c r="B2193" s="31"/>
    </row>
    <row r="2194" spans="2:2">
      <c r="B2194" s="31"/>
    </row>
    <row r="2195" spans="2:2">
      <c r="B2195" s="31"/>
    </row>
    <row r="2196" spans="2:2">
      <c r="B2196" s="31"/>
    </row>
    <row r="2197" spans="2:2">
      <c r="B2197" s="31"/>
    </row>
    <row r="2198" spans="2:2">
      <c r="B2198" s="31"/>
    </row>
    <row r="2199" spans="2:2">
      <c r="B2199" s="31"/>
    </row>
    <row r="2200" spans="2:2">
      <c r="B2200" s="31"/>
    </row>
    <row r="2201" spans="2:2">
      <c r="B2201" s="31"/>
    </row>
    <row r="2202" spans="2:2">
      <c r="B2202" s="31"/>
    </row>
    <row r="2203" spans="2:2">
      <c r="B2203" s="31"/>
    </row>
    <row r="2204" spans="2:2">
      <c r="B2204" s="31"/>
    </row>
    <row r="2205" spans="2:2">
      <c r="B2205" s="31"/>
    </row>
    <row r="2206" spans="2:2">
      <c r="B2206" s="31"/>
    </row>
    <row r="2207" spans="2:2">
      <c r="B2207" s="31"/>
    </row>
    <row r="2208" spans="2:2">
      <c r="B2208" s="31"/>
    </row>
    <row r="2209" spans="2:2">
      <c r="B2209" s="31"/>
    </row>
    <row r="2210" spans="2:2">
      <c r="B2210" s="31"/>
    </row>
    <row r="2211" spans="2:2">
      <c r="B2211" s="31"/>
    </row>
    <row r="2212" spans="2:2">
      <c r="B2212" s="31"/>
    </row>
    <row r="2213" spans="2:2">
      <c r="B2213" s="31"/>
    </row>
    <row r="2214" spans="2:2">
      <c r="B2214" s="31"/>
    </row>
    <row r="2215" spans="2:2">
      <c r="B2215" s="31"/>
    </row>
    <row r="2216" spans="2:2">
      <c r="B2216" s="31"/>
    </row>
    <row r="2217" spans="2:2">
      <c r="B2217" s="31"/>
    </row>
    <row r="2218" spans="2:2">
      <c r="B2218" s="31"/>
    </row>
    <row r="2219" spans="2:2">
      <c r="B2219" s="31"/>
    </row>
    <row r="2220" spans="2:2">
      <c r="B2220" s="31"/>
    </row>
    <row r="2221" spans="2:2">
      <c r="B2221" s="31"/>
    </row>
    <row r="2222" spans="2:2">
      <c r="B2222" s="31"/>
    </row>
    <row r="2223" spans="2:2">
      <c r="B2223" s="31"/>
    </row>
    <row r="2224" spans="2:2">
      <c r="B2224" s="31"/>
    </row>
    <row r="2225" spans="2:2">
      <c r="B2225" s="31"/>
    </row>
    <row r="2226" spans="2:2">
      <c r="B2226" s="31"/>
    </row>
    <row r="2227" spans="2:2">
      <c r="B2227" s="31"/>
    </row>
    <row r="2228" spans="2:2">
      <c r="B2228" s="31"/>
    </row>
    <row r="2229" spans="2:2">
      <c r="B2229" s="31"/>
    </row>
    <row r="2230" spans="2:2">
      <c r="B2230" s="31"/>
    </row>
    <row r="2231" spans="2:2">
      <c r="B2231" s="31"/>
    </row>
    <row r="2232" spans="2:2">
      <c r="B2232" s="31"/>
    </row>
    <row r="2233" spans="2:2">
      <c r="B2233" s="31"/>
    </row>
    <row r="2234" spans="2:2">
      <c r="B2234" s="31"/>
    </row>
    <row r="2235" spans="2:2">
      <c r="B2235" s="31"/>
    </row>
    <row r="2236" spans="2:2">
      <c r="B2236" s="31"/>
    </row>
    <row r="2237" spans="2:2">
      <c r="B2237" s="31"/>
    </row>
    <row r="2238" spans="2:2">
      <c r="B2238" s="31"/>
    </row>
    <row r="2239" spans="2:2">
      <c r="B2239" s="31"/>
    </row>
    <row r="2240" spans="2:2">
      <c r="B2240" s="31"/>
    </row>
    <row r="2241" spans="2:2">
      <c r="B2241" s="31"/>
    </row>
    <row r="2242" spans="2:2">
      <c r="B2242" s="31"/>
    </row>
    <row r="2243" spans="2:2">
      <c r="B2243" s="31"/>
    </row>
    <row r="2244" spans="2:2">
      <c r="B2244" s="31"/>
    </row>
    <row r="2245" spans="2:2">
      <c r="B2245" s="31"/>
    </row>
    <row r="2246" spans="2:2">
      <c r="B2246" s="31"/>
    </row>
    <row r="2247" spans="2:2">
      <c r="B2247" s="31"/>
    </row>
    <row r="2248" spans="2:2">
      <c r="B2248" s="31"/>
    </row>
    <row r="2249" spans="2:2">
      <c r="B2249" s="31"/>
    </row>
    <row r="2250" spans="2:2">
      <c r="B2250" s="31"/>
    </row>
    <row r="2251" spans="2:2">
      <c r="B2251" s="31"/>
    </row>
    <row r="2252" spans="2:2">
      <c r="B2252" s="31"/>
    </row>
    <row r="2253" spans="2:2">
      <c r="B2253" s="31"/>
    </row>
    <row r="2254" spans="2:2">
      <c r="B2254" s="31"/>
    </row>
    <row r="2255" spans="2:2">
      <c r="B2255" s="31"/>
    </row>
    <row r="2256" spans="2:2">
      <c r="B2256" s="31"/>
    </row>
    <row r="2257" spans="2:2">
      <c r="B2257" s="31"/>
    </row>
    <row r="2258" spans="2:2">
      <c r="B2258" s="31"/>
    </row>
    <row r="2259" spans="2:2">
      <c r="B2259" s="31"/>
    </row>
    <row r="2260" spans="2:2">
      <c r="B2260" s="31"/>
    </row>
    <row r="2261" spans="2:2">
      <c r="B2261" s="31"/>
    </row>
    <row r="2262" spans="2:2">
      <c r="B2262" s="31"/>
    </row>
    <row r="2263" spans="2:2">
      <c r="B2263" s="31"/>
    </row>
    <row r="2264" spans="2:2">
      <c r="B2264" s="31"/>
    </row>
    <row r="2265" spans="2:2">
      <c r="B2265" s="31"/>
    </row>
    <row r="2266" spans="2:2">
      <c r="B2266" s="31"/>
    </row>
    <row r="2267" spans="2:2">
      <c r="B2267" s="31"/>
    </row>
    <row r="2268" spans="2:2">
      <c r="B2268" s="31"/>
    </row>
    <row r="2269" spans="2:2">
      <c r="B2269" s="31"/>
    </row>
    <row r="2270" spans="2:2">
      <c r="B2270" s="31"/>
    </row>
    <row r="2271" spans="2:2">
      <c r="B2271" s="31"/>
    </row>
    <row r="2272" spans="2:2">
      <c r="B2272" s="31"/>
    </row>
    <row r="2273" spans="2:2">
      <c r="B2273" s="31"/>
    </row>
    <row r="2274" spans="2:2">
      <c r="B2274" s="31"/>
    </row>
    <row r="2275" spans="2:2">
      <c r="B2275" s="31"/>
    </row>
    <row r="2276" spans="2:2">
      <c r="B2276" s="31"/>
    </row>
    <row r="2277" spans="2:2">
      <c r="B2277" s="31"/>
    </row>
    <row r="2278" spans="2:2">
      <c r="B2278" s="31"/>
    </row>
    <row r="2279" spans="2:2">
      <c r="B2279" s="31"/>
    </row>
    <row r="2280" spans="2:2">
      <c r="B2280" s="31"/>
    </row>
    <row r="2281" spans="2:2">
      <c r="B2281" s="31"/>
    </row>
    <row r="2282" spans="2:2">
      <c r="B2282" s="31"/>
    </row>
    <row r="2283" spans="2:2">
      <c r="B2283" s="31"/>
    </row>
    <row r="2284" spans="2:2">
      <c r="B2284" s="31"/>
    </row>
    <row r="2285" spans="2:2">
      <c r="B2285" s="31"/>
    </row>
    <row r="2286" spans="2:2">
      <c r="B2286" s="31"/>
    </row>
    <row r="2287" spans="2:2">
      <c r="B2287" s="31"/>
    </row>
    <row r="2288" spans="2:2">
      <c r="B2288" s="31"/>
    </row>
    <row r="2289" spans="2:2">
      <c r="B2289" s="31"/>
    </row>
    <row r="2290" spans="2:2">
      <c r="B2290" s="31"/>
    </row>
    <row r="2291" spans="2:2">
      <c r="B2291" s="31"/>
    </row>
    <row r="2292" spans="2:2">
      <c r="B2292" s="31"/>
    </row>
    <row r="2293" spans="2:2">
      <c r="B2293" s="31"/>
    </row>
    <row r="2294" spans="2:2">
      <c r="B2294" s="31"/>
    </row>
    <row r="2295" spans="2:2">
      <c r="B2295" s="31"/>
    </row>
    <row r="2296" spans="2:2">
      <c r="B2296" s="31"/>
    </row>
    <row r="2297" spans="2:2">
      <c r="B2297" s="31"/>
    </row>
    <row r="2298" spans="2:2">
      <c r="B2298" s="31"/>
    </row>
    <row r="2299" spans="2:2">
      <c r="B2299" s="31"/>
    </row>
    <row r="2300" spans="2:2">
      <c r="B2300" s="31"/>
    </row>
    <row r="2301" spans="2:2">
      <c r="B2301" s="31"/>
    </row>
    <row r="2302" spans="2:2">
      <c r="B2302" s="31"/>
    </row>
    <row r="2303" spans="2:2">
      <c r="B2303" s="31"/>
    </row>
    <row r="2304" spans="2:2">
      <c r="B2304" s="31"/>
    </row>
    <row r="2305" spans="2:2">
      <c r="B2305" s="31"/>
    </row>
    <row r="2306" spans="2:2">
      <c r="B2306" s="31"/>
    </row>
    <row r="2307" spans="2:2">
      <c r="B2307" s="31"/>
    </row>
    <row r="2308" spans="2:2">
      <c r="B2308" s="31"/>
    </row>
    <row r="2309" spans="2:2">
      <c r="B2309" s="31"/>
    </row>
    <row r="2310" spans="2:2">
      <c r="B2310" s="31"/>
    </row>
    <row r="2311" spans="2:2">
      <c r="B2311" s="31"/>
    </row>
    <row r="2312" spans="2:2">
      <c r="B2312" s="31"/>
    </row>
    <row r="2313" spans="2:2">
      <c r="B2313" s="31"/>
    </row>
    <row r="2314" spans="2:2">
      <c r="B2314" s="31"/>
    </row>
    <row r="2315" spans="2:2">
      <c r="B2315" s="31"/>
    </row>
    <row r="2316" spans="2:2">
      <c r="B2316" s="31"/>
    </row>
    <row r="2317" spans="2:2">
      <c r="B2317" s="31"/>
    </row>
    <row r="2318" spans="2:2">
      <c r="B2318" s="31"/>
    </row>
    <row r="2319" spans="2:2">
      <c r="B2319" s="31"/>
    </row>
    <row r="2320" spans="2:2">
      <c r="B2320" s="31"/>
    </row>
    <row r="2321" spans="2:2">
      <c r="B2321" s="31"/>
    </row>
    <row r="2322" spans="2:2">
      <c r="B2322" s="31"/>
    </row>
    <row r="2323" spans="2:2">
      <c r="B2323" s="31"/>
    </row>
    <row r="2324" spans="2:2">
      <c r="B2324" s="31"/>
    </row>
    <row r="2325" spans="2:2">
      <c r="B2325" s="31"/>
    </row>
    <row r="2326" spans="2:2">
      <c r="B2326" s="31"/>
    </row>
    <row r="2327" spans="2:2">
      <c r="B2327" s="31"/>
    </row>
    <row r="2328" spans="2:2">
      <c r="B2328" s="31"/>
    </row>
    <row r="2329" spans="2:2">
      <c r="B2329" s="31"/>
    </row>
    <row r="2330" spans="2:2">
      <c r="B2330" s="31"/>
    </row>
    <row r="2331" spans="2:2">
      <c r="B2331" s="31"/>
    </row>
    <row r="2332" spans="2:2">
      <c r="B2332" s="31"/>
    </row>
    <row r="2333" spans="2:2">
      <c r="B2333" s="31"/>
    </row>
    <row r="2334" spans="2:2">
      <c r="B2334" s="31"/>
    </row>
    <row r="2335" spans="2:2">
      <c r="B2335" s="31"/>
    </row>
    <row r="2336" spans="2:2">
      <c r="B2336" s="31"/>
    </row>
    <row r="2337" spans="2:2">
      <c r="B2337" s="31"/>
    </row>
    <row r="2338" spans="2:2">
      <c r="B2338" s="31"/>
    </row>
    <row r="2339" spans="2:2">
      <c r="B2339" s="31"/>
    </row>
    <row r="2340" spans="2:2">
      <c r="B2340" s="31"/>
    </row>
    <row r="2341" spans="2:2">
      <c r="B2341" s="31"/>
    </row>
    <row r="2342" spans="2:2">
      <c r="B2342" s="31"/>
    </row>
    <row r="2343" spans="2:2">
      <c r="B2343" s="31"/>
    </row>
    <row r="2344" spans="2:2">
      <c r="B2344" s="31"/>
    </row>
    <row r="2345" spans="2:2">
      <c r="B2345" s="31"/>
    </row>
    <row r="2346" spans="2:2">
      <c r="B2346" s="31"/>
    </row>
    <row r="2347" spans="2:2">
      <c r="B2347" s="31"/>
    </row>
    <row r="2348" spans="2:2">
      <c r="B2348" s="31"/>
    </row>
    <row r="2349" spans="2:2">
      <c r="B2349" s="31"/>
    </row>
    <row r="2350" spans="2:2">
      <c r="B2350" s="31"/>
    </row>
    <row r="2351" spans="2:2">
      <c r="B2351" s="31"/>
    </row>
    <row r="2352" spans="2:2">
      <c r="B2352" s="31"/>
    </row>
    <row r="2353" spans="2:2">
      <c r="B2353" s="31"/>
    </row>
    <row r="2354" spans="2:2">
      <c r="B2354" s="31"/>
    </row>
    <row r="2355" spans="2:2">
      <c r="B2355" s="31"/>
    </row>
    <row r="2356" spans="2:2">
      <c r="B2356" s="31"/>
    </row>
    <row r="2357" spans="2:2">
      <c r="B2357" s="31"/>
    </row>
    <row r="2358" spans="2:2">
      <c r="B2358" s="31"/>
    </row>
    <row r="2359" spans="2:2">
      <c r="B2359" s="31"/>
    </row>
    <row r="2360" spans="2:2">
      <c r="B2360" s="31"/>
    </row>
    <row r="2361" spans="2:2">
      <c r="B2361" s="31"/>
    </row>
    <row r="2362" spans="2:2">
      <c r="B2362" s="31"/>
    </row>
    <row r="2363" spans="2:2">
      <c r="B2363" s="31"/>
    </row>
    <row r="2364" spans="2:2">
      <c r="B2364" s="31"/>
    </row>
    <row r="2365" spans="2:2">
      <c r="B2365" s="31"/>
    </row>
    <row r="2366" spans="2:2">
      <c r="B2366" s="31"/>
    </row>
    <row r="2367" spans="2:2">
      <c r="B2367" s="31"/>
    </row>
    <row r="2368" spans="2:2">
      <c r="B2368" s="31"/>
    </row>
    <row r="2369" spans="2:2">
      <c r="B2369" s="31"/>
    </row>
    <row r="2370" spans="2:2">
      <c r="B2370" s="31"/>
    </row>
    <row r="2371" spans="2:2">
      <c r="B2371" s="31"/>
    </row>
    <row r="2372" spans="2:2">
      <c r="B2372" s="31"/>
    </row>
    <row r="2373" spans="2:2">
      <c r="B2373" s="31"/>
    </row>
    <row r="2374" spans="2:2">
      <c r="B2374" s="31"/>
    </row>
    <row r="2375" spans="2:2">
      <c r="B2375" s="31"/>
    </row>
    <row r="2376" spans="2:2">
      <c r="B2376" s="31"/>
    </row>
    <row r="2377" spans="2:2">
      <c r="B2377" s="31"/>
    </row>
    <row r="2378" spans="2:2">
      <c r="B2378" s="31"/>
    </row>
    <row r="2379" spans="2:2">
      <c r="B2379" s="31"/>
    </row>
    <row r="2380" spans="2:2">
      <c r="B2380" s="31"/>
    </row>
    <row r="2381" spans="2:2">
      <c r="B2381" s="31"/>
    </row>
    <row r="2382" spans="2:2">
      <c r="B2382" s="31"/>
    </row>
    <row r="2383" spans="2:2">
      <c r="B2383" s="31"/>
    </row>
    <row r="2384" spans="2:2">
      <c r="B2384" s="31"/>
    </row>
    <row r="2385" spans="2:2">
      <c r="B2385" s="31"/>
    </row>
    <row r="2386" spans="2:2">
      <c r="B2386" s="31"/>
    </row>
    <row r="2387" spans="2:2">
      <c r="B2387" s="31"/>
    </row>
    <row r="2388" spans="2:2">
      <c r="B2388" s="31"/>
    </row>
    <row r="2389" spans="2:2">
      <c r="B2389" s="31"/>
    </row>
    <row r="2390" spans="2:2">
      <c r="B2390" s="31"/>
    </row>
    <row r="2391" spans="2:2">
      <c r="B2391" s="31"/>
    </row>
    <row r="2392" spans="2:2">
      <c r="B2392" s="31"/>
    </row>
    <row r="2393" spans="2:2">
      <c r="B2393" s="31"/>
    </row>
    <row r="2394" spans="2:2">
      <c r="B2394" s="31"/>
    </row>
    <row r="2395" spans="2:2">
      <c r="B2395" s="31"/>
    </row>
    <row r="2396" spans="2:2">
      <c r="B2396" s="31"/>
    </row>
    <row r="2397" spans="2:2">
      <c r="B2397" s="31"/>
    </row>
    <row r="2398" spans="2:2">
      <c r="B2398" s="31"/>
    </row>
    <row r="2399" spans="2:2">
      <c r="B2399" s="31"/>
    </row>
    <row r="2400" spans="2:2">
      <c r="B2400" s="31"/>
    </row>
    <row r="2401" spans="2:2">
      <c r="B2401" s="31"/>
    </row>
    <row r="2402" spans="2:2">
      <c r="B2402" s="31"/>
    </row>
    <row r="2403" spans="2:2">
      <c r="B2403" s="31"/>
    </row>
    <row r="2404" spans="2:2">
      <c r="B2404" s="31"/>
    </row>
    <row r="2405" spans="2:2">
      <c r="B2405" s="31"/>
    </row>
    <row r="2406" spans="2:2">
      <c r="B2406" s="31"/>
    </row>
    <row r="2407" spans="2:2">
      <c r="B2407" s="31"/>
    </row>
    <row r="2408" spans="2:2">
      <c r="B2408" s="31"/>
    </row>
    <row r="2409" spans="2:2">
      <c r="B2409" s="31"/>
    </row>
    <row r="2410" spans="2:2">
      <c r="B2410" s="31"/>
    </row>
    <row r="2411" spans="2:2">
      <c r="B2411" s="31"/>
    </row>
    <row r="2412" spans="2:2">
      <c r="B2412" s="31"/>
    </row>
    <row r="2413" spans="2:2">
      <c r="B2413" s="31"/>
    </row>
    <row r="2414" spans="2:2">
      <c r="B2414" s="31"/>
    </row>
    <row r="2415" spans="2:2">
      <c r="B2415" s="31"/>
    </row>
    <row r="2416" spans="2:2">
      <c r="B2416" s="31"/>
    </row>
    <row r="2417" spans="2:2">
      <c r="B2417" s="31"/>
    </row>
    <row r="2418" spans="2:2">
      <c r="B2418" s="31"/>
    </row>
    <row r="2419" spans="2:2">
      <c r="B2419" s="31"/>
    </row>
    <row r="2420" spans="2:2">
      <c r="B2420" s="31"/>
    </row>
    <row r="2421" spans="2:2">
      <c r="B2421" s="31"/>
    </row>
    <row r="2422" spans="2:2">
      <c r="B2422" s="31"/>
    </row>
    <row r="2423" spans="2:2">
      <c r="B2423" s="31"/>
    </row>
    <row r="2424" spans="2:2">
      <c r="B2424" s="31"/>
    </row>
    <row r="2425" spans="2:2">
      <c r="B2425" s="31"/>
    </row>
    <row r="2426" spans="2:2">
      <c r="B2426" s="31"/>
    </row>
    <row r="2427" spans="2:2">
      <c r="B2427" s="31"/>
    </row>
    <row r="2428" spans="2:2">
      <c r="B2428" s="31"/>
    </row>
    <row r="2429" spans="2:2">
      <c r="B2429" s="31"/>
    </row>
    <row r="2430" spans="2:2">
      <c r="B2430" s="31"/>
    </row>
    <row r="2431" spans="2:2">
      <c r="B2431" s="31"/>
    </row>
    <row r="2432" spans="2:2">
      <c r="B2432" s="31"/>
    </row>
    <row r="2433" spans="2:2">
      <c r="B2433" s="31"/>
    </row>
    <row r="2434" spans="2:2">
      <c r="B2434" s="31"/>
    </row>
    <row r="2435" spans="2:2">
      <c r="B2435" s="31"/>
    </row>
    <row r="2436" spans="2:2">
      <c r="B2436" s="31"/>
    </row>
    <row r="2437" spans="2:2">
      <c r="B2437" s="31"/>
    </row>
    <row r="2438" spans="2:2">
      <c r="B2438" s="31"/>
    </row>
    <row r="2439" spans="2:2">
      <c r="B2439" s="31"/>
    </row>
    <row r="2440" spans="2:2">
      <c r="B2440" s="31"/>
    </row>
    <row r="2441" spans="2:2">
      <c r="B2441" s="31"/>
    </row>
    <row r="2442" spans="2:2">
      <c r="B2442" s="31"/>
    </row>
    <row r="2443" spans="2:2">
      <c r="B2443" s="31"/>
    </row>
    <row r="2444" spans="2:2">
      <c r="B2444" s="31"/>
    </row>
    <row r="2445" spans="2:2">
      <c r="B2445" s="31"/>
    </row>
    <row r="2446" spans="2:2">
      <c r="B2446" s="31"/>
    </row>
    <row r="2447" spans="2:2">
      <c r="B2447" s="31"/>
    </row>
    <row r="2448" spans="2:2">
      <c r="B2448" s="31"/>
    </row>
    <row r="2449" spans="2:2">
      <c r="B2449" s="31"/>
    </row>
    <row r="2450" spans="2:2">
      <c r="B2450" s="31"/>
    </row>
    <row r="2451" spans="2:2">
      <c r="B2451" s="31"/>
    </row>
    <row r="2452" spans="2:2">
      <c r="B2452" s="31"/>
    </row>
    <row r="2453" spans="2:2">
      <c r="B2453" s="31"/>
    </row>
    <row r="2454" spans="2:2">
      <c r="B2454" s="31"/>
    </row>
    <row r="2455" spans="2:2">
      <c r="B2455" s="31"/>
    </row>
    <row r="2456" spans="2:2">
      <c r="B2456" s="31"/>
    </row>
    <row r="2457" spans="2:2">
      <c r="B2457" s="31"/>
    </row>
    <row r="2458" spans="2:2">
      <c r="B2458" s="31"/>
    </row>
    <row r="2459" spans="2:2">
      <c r="B2459" s="31"/>
    </row>
    <row r="2460" spans="2:2">
      <c r="B2460" s="31"/>
    </row>
    <row r="2461" spans="2:2">
      <c r="B2461" s="31"/>
    </row>
    <row r="2462" spans="2:2">
      <c r="B2462" s="31"/>
    </row>
    <row r="2463" spans="2:2">
      <c r="B2463" s="31"/>
    </row>
    <row r="2464" spans="2:2">
      <c r="B2464" s="31"/>
    </row>
    <row r="2465" spans="2:36">
      <c r="B2465" s="31"/>
    </row>
    <row r="2466" spans="2:36">
      <c r="B2466" s="31"/>
    </row>
    <row r="2467" spans="2:36">
      <c r="B2467" s="31"/>
      <c r="AJ2467" s="137"/>
    </row>
    <row r="2468" spans="2:36">
      <c r="B2468" s="31"/>
    </row>
    <row r="2469" spans="2:36">
      <c r="B2469" s="31"/>
    </row>
    <row r="2470" spans="2:36">
      <c r="B2470" s="31"/>
    </row>
    <row r="2471" spans="2:36">
      <c r="B2471" s="31"/>
    </row>
    <row r="2472" spans="2:36">
      <c r="B2472" s="31"/>
    </row>
    <row r="2473" spans="2:36">
      <c r="B2473" s="31"/>
    </row>
    <row r="2474" spans="2:36">
      <c r="B2474" s="31"/>
    </row>
    <row r="2475" spans="2:36">
      <c r="B2475" s="31"/>
    </row>
    <row r="2476" spans="2:36">
      <c r="B2476" s="31"/>
    </row>
    <row r="2477" spans="2:36">
      <c r="B2477" s="31"/>
    </row>
    <row r="2478" spans="2:36">
      <c r="B2478" s="31"/>
    </row>
    <row r="2479" spans="2:36">
      <c r="B2479" s="31"/>
    </row>
    <row r="2480" spans="2:36">
      <c r="B2480" s="31"/>
    </row>
    <row r="2481" spans="2:2">
      <c r="B2481" s="31"/>
    </row>
    <row r="2482" spans="2:2">
      <c r="B2482" s="31"/>
    </row>
    <row r="2483" spans="2:2">
      <c r="B2483" s="31"/>
    </row>
    <row r="2484" spans="2:2">
      <c r="B2484" s="31"/>
    </row>
    <row r="2485" spans="2:2">
      <c r="B2485" s="31"/>
    </row>
    <row r="2486" spans="2:2">
      <c r="B2486" s="31"/>
    </row>
    <row r="2487" spans="2:2">
      <c r="B2487" s="31"/>
    </row>
    <row r="2488" spans="2:2">
      <c r="B2488" s="31"/>
    </row>
    <row r="2489" spans="2:2">
      <c r="B2489" s="31"/>
    </row>
    <row r="2490" spans="2:2">
      <c r="B2490" s="31"/>
    </row>
    <row r="2491" spans="2:2">
      <c r="B2491" s="31"/>
    </row>
    <row r="2492" spans="2:2">
      <c r="B2492" s="31"/>
    </row>
    <row r="2493" spans="2:2">
      <c r="B2493" s="31"/>
    </row>
    <row r="2494" spans="2:2">
      <c r="B2494" s="31"/>
    </row>
    <row r="2495" spans="2:2">
      <c r="B2495" s="31"/>
    </row>
    <row r="2496" spans="2:2">
      <c r="B2496" s="31"/>
    </row>
    <row r="2497" spans="2:2">
      <c r="B2497" s="31"/>
    </row>
    <row r="2498" spans="2:2">
      <c r="B2498" s="31"/>
    </row>
    <row r="2499" spans="2:2">
      <c r="B2499" s="31"/>
    </row>
    <row r="2500" spans="2:2">
      <c r="B2500" s="31"/>
    </row>
    <row r="2501" spans="2:2">
      <c r="B2501" s="31"/>
    </row>
    <row r="2502" spans="2:2">
      <c r="B2502" s="31"/>
    </row>
    <row r="2503" spans="2:2">
      <c r="B2503" s="31"/>
    </row>
    <row r="2504" spans="2:2">
      <c r="B2504" s="31"/>
    </row>
    <row r="2505" spans="2:2">
      <c r="B2505" s="31"/>
    </row>
    <row r="2506" spans="2:2">
      <c r="B2506" s="31"/>
    </row>
    <row r="3004" spans="49:49">
      <c r="AW3004" s="2">
        <v>0</v>
      </c>
    </row>
    <row r="3005" spans="49:49">
      <c r="AW3005" s="2">
        <v>0</v>
      </c>
    </row>
    <row r="3806" spans="28:28">
      <c r="AB3806" s="2" t="s">
        <v>1934</v>
      </c>
    </row>
    <row r="8826" spans="37:37">
      <c r="AK8826" s="122" t="s">
        <v>1934</v>
      </c>
    </row>
    <row r="8846" spans="37:37">
      <c r="AK8846" s="122" t="s">
        <v>1934</v>
      </c>
    </row>
  </sheetData>
  <autoFilter ref="A2:DD1585"/>
  <dataConsolidate/>
  <mergeCells count="40">
    <mergeCell ref="A1586:D1586"/>
    <mergeCell ref="V1:AD1"/>
    <mergeCell ref="AL1:AM1"/>
    <mergeCell ref="AE1:AK1"/>
    <mergeCell ref="A1584:D1584"/>
    <mergeCell ref="A1:D1"/>
    <mergeCell ref="E1:U1"/>
    <mergeCell ref="AP1:AQ1"/>
    <mergeCell ref="AR1:AS1"/>
    <mergeCell ref="BD1:BE1"/>
    <mergeCell ref="BB1:BC1"/>
    <mergeCell ref="AT1:AU1"/>
    <mergeCell ref="AV1:AW1"/>
    <mergeCell ref="AN1:AO1"/>
    <mergeCell ref="DA1:DB1"/>
    <mergeCell ref="CP1:CQ1"/>
    <mergeCell ref="CR1:CS1"/>
    <mergeCell ref="CU1:CV1"/>
    <mergeCell ref="CW1:CX1"/>
    <mergeCell ref="CB1:CC1"/>
    <mergeCell ref="CL1:CM1"/>
    <mergeCell ref="CD1:CE1"/>
    <mergeCell ref="CY1:CZ1"/>
    <mergeCell ref="CN1:CO1"/>
    <mergeCell ref="BZ1:CA1"/>
    <mergeCell ref="CJ1:CK1"/>
    <mergeCell ref="BF1:BG1"/>
    <mergeCell ref="AX1:AY1"/>
    <mergeCell ref="AZ1:BA1"/>
    <mergeCell ref="CH1:CI1"/>
    <mergeCell ref="BH1:BI1"/>
    <mergeCell ref="BX1:BY1"/>
    <mergeCell ref="BJ1:BK1"/>
    <mergeCell ref="BL1:BM1"/>
    <mergeCell ref="BN1:BO1"/>
    <mergeCell ref="BV1:BW1"/>
    <mergeCell ref="BP1:BQ1"/>
    <mergeCell ref="BR1:BS1"/>
    <mergeCell ref="BT1:BU1"/>
    <mergeCell ref="CF1:CG1"/>
  </mergeCells>
  <phoneticPr fontId="0" type="noConversion"/>
  <pageMargins left="1.0629921259842521" right="0.19685039370078741" top="1.1417322834645669" bottom="0.43307086614173229" header="0.35433070866141736" footer="0.15748031496062992"/>
  <pageSetup paperSize="5" scale="62" orientation="landscape" horizontalDpi="4294967292" verticalDpi="300" r:id="rId1"/>
  <headerFooter alignWithMargins="0">
    <oddHeader>&amp;C&amp;"Arial,Negrita"&amp;14MINISTERIO DEL INTERIOR Y DE JUSTICIA&amp;"Arial,Negrita Cursiva"&amp;12
&amp;16DIRECCION DE GESTION DEL RIESGO&amp;12
TEMPORADA INVERNAL A PARTIR EL 6 DE ABRIL DE 2010</oddHeader>
    <oddFooter>&amp;R&amp;P,/ &amp;N,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EMERGENCIAS</vt:lpstr>
      <vt:lpstr>'REPORTE DE EMERGENCIAS'!Área_de_impresión</vt:lpstr>
      <vt:lpstr>'REPORTE DE EMERGENCIAS'!Títulos_a_imprimir</vt:lpstr>
    </vt:vector>
  </TitlesOfParts>
  <Company>FNC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CUEVAS MARÍN - D.A.E.</dc:creator>
  <cp:lastModifiedBy>DGR</cp:lastModifiedBy>
  <cp:lastPrinted>2010-12-14T21:50:11Z</cp:lastPrinted>
  <dcterms:created xsi:type="dcterms:W3CDTF">1998-07-31T14:15:34Z</dcterms:created>
  <dcterms:modified xsi:type="dcterms:W3CDTF">2010-12-15T02:15:40Z</dcterms:modified>
</cp:coreProperties>
</file>